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9.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worksheets/sheet9.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worksheets/sheet15.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7.xml" ContentType="application/vnd.openxmlformats-officedocument.spreadsheetml.worksheet+xml"/>
  <Override PartName="/xl/worksheets/sheet16.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5.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4.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9.xml" ContentType="application/vnd.openxmlformats-officedocument.spreadsheetml.externalLink+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aveExternalLinkValues="0" updateLinks="always"/>
  <mc:AlternateContent xmlns:mc="http://schemas.openxmlformats.org/markup-compatibility/2006">
    <mc:Choice Requires="x15">
      <x15ac:absPath xmlns:x15ac="http://schemas.microsoft.com/office/spreadsheetml/2010/11/ac" url="X:\UPRA\Contratacion 2022\LP y PA\Cadena maiz\PA\Plan accion\20220513\Subidos pg web\"/>
    </mc:Choice>
  </mc:AlternateContent>
  <bookViews>
    <workbookView xWindow="1200" yWindow="495" windowWidth="27600" windowHeight="16845"/>
  </bookViews>
  <sheets>
    <sheet name="Instructivo" sheetId="1" r:id="rId1"/>
    <sheet name="Directrices  Generales " sheetId="2" r:id="rId2"/>
    <sheet name="Categoria Costos Def" sheetId="30" r:id="rId3"/>
    <sheet name="Estimación anualizada " sheetId="21" r:id="rId4"/>
    <sheet name="Estimación por período" sheetId="14" r:id="rId5"/>
    <sheet name="Fuentes" sheetId="28" r:id="rId6"/>
    <sheet name="P1" sheetId="5" r:id="rId7"/>
    <sheet name="P2" sheetId="22" r:id="rId8"/>
    <sheet name="P3" sheetId="23" r:id="rId9"/>
    <sheet name="P4" sheetId="24" r:id="rId10"/>
    <sheet name="P5" sheetId="25" r:id="rId11"/>
    <sheet name="P6" sheetId="8" r:id="rId12"/>
    <sheet name="P7" sheetId="9" r:id="rId13"/>
    <sheet name="P8" sheetId="27" r:id="rId14"/>
    <sheet name="P9" sheetId="20" r:id="rId15"/>
    <sheet name="PPP_V3_y Costos" sheetId="29"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#N/A</definedName>
    <definedName name="\b">#N/A</definedName>
    <definedName name="_____hhh444" localSheetId="2">#REF!</definedName>
    <definedName name="_____hhh444" localSheetId="1">#REF!</definedName>
    <definedName name="_____hhh444" localSheetId="6">#REF!</definedName>
    <definedName name="_____hhh444" localSheetId="7">#REF!</definedName>
    <definedName name="_____hhh444" localSheetId="9">#REF!</definedName>
    <definedName name="_____hhh444" localSheetId="10">#REF!</definedName>
    <definedName name="_____hhh444" localSheetId="11">#REF!</definedName>
    <definedName name="_____hhh444" localSheetId="12">#REF!</definedName>
    <definedName name="_____hhh444" localSheetId="13">#REF!</definedName>
    <definedName name="_____hhh444" localSheetId="14">#REF!</definedName>
    <definedName name="_____hhh444" localSheetId="15">#REF!</definedName>
    <definedName name="_____hhh444">#REF!</definedName>
    <definedName name="___hhh444" localSheetId="2">#REF!</definedName>
    <definedName name="___hhh444" localSheetId="1">#REF!</definedName>
    <definedName name="___hhh444" localSheetId="15">#REF!</definedName>
    <definedName name="___hhh444">#REF!</definedName>
    <definedName name="_xlnm._FilterDatabase" localSheetId="15" hidden="1">'PPP_V3_y Costos'!$A$1:$D$26</definedName>
    <definedName name="_ftnref3" localSheetId="15">'PPP_V3_y Costos'!#REF!</definedName>
    <definedName name="_ftnref4" localSheetId="15">'PPP_V3_y Costos'!#REF!</definedName>
    <definedName name="_ftnref5" localSheetId="15">'PPP_V3_y Costos'!#REF!</definedName>
    <definedName name="_hhh444" localSheetId="2">#REF!</definedName>
    <definedName name="_hhh444" localSheetId="1">#REF!</definedName>
    <definedName name="_hhh444" localSheetId="9">#REF!</definedName>
    <definedName name="_hhh444" localSheetId="10">#REF!</definedName>
    <definedName name="_hhh444" localSheetId="13">#REF!</definedName>
    <definedName name="_hhh444" localSheetId="14">#REF!</definedName>
    <definedName name="_hhh444" localSheetId="15">#REF!</definedName>
    <definedName name="_hhh444">#REF!</definedName>
    <definedName name="A_impresión_IM" localSheetId="2">#REF!</definedName>
    <definedName name="A_impresión_IM" localSheetId="15">#REF!</definedName>
    <definedName name="A_impresión_IM">#REF!</definedName>
    <definedName name="aaa" localSheetId="2">#REF!</definedName>
    <definedName name="aaa" localSheetId="15">#REF!</definedName>
    <definedName name="aaa">#REF!</definedName>
    <definedName name="abuela" localSheetId="2">#REF!</definedName>
    <definedName name="abuela" localSheetId="15">#REF!</definedName>
    <definedName name="abuela">#REF!</definedName>
    <definedName name="africa" localSheetId="2">#REF!</definedName>
    <definedName name="africa">#REF!</definedName>
    <definedName name="aleman" localSheetId="2">#REF!</definedName>
    <definedName name="aleman">#REF!</definedName>
    <definedName name="ALO" localSheetId="2">#REF!</definedName>
    <definedName name="ALO">#REF!</definedName>
    <definedName name="AREA_COSECHADA" localSheetId="2">#REF!</definedName>
    <definedName name="AREA_COSECHADA">#REF!</definedName>
    <definedName name="_xlnm.Print_Area" localSheetId="2">#REF!</definedName>
    <definedName name="_xlnm.Print_Area">#REF!</definedName>
    <definedName name="AREA_SEMBRADA" localSheetId="2">#REF!</definedName>
    <definedName name="AREA_SEMBRADA">#REF!</definedName>
    <definedName name="asia" localSheetId="2">#REF!</definedName>
    <definedName name="asia">#REF!</definedName>
    <definedName name="astringente" localSheetId="2">#REF!</definedName>
    <definedName name="astringente">#REF!</definedName>
    <definedName name="autralia" localSheetId="2">#REF!</definedName>
    <definedName name="autralia">#REF!</definedName>
    <definedName name="bobada" localSheetId="2">#REF!</definedName>
    <definedName name="bobada">#REF!</definedName>
    <definedName name="cambio" localSheetId="2">#REF!</definedName>
    <definedName name="cambio">#REF!</definedName>
    <definedName name="cccc">#N/A</definedName>
    <definedName name="centro" localSheetId="2">#REF!</definedName>
    <definedName name="centro" localSheetId="1">#REF!</definedName>
    <definedName name="centro" localSheetId="6">#REF!</definedName>
    <definedName name="centro" localSheetId="7">#REF!</definedName>
    <definedName name="centro" localSheetId="9">#REF!</definedName>
    <definedName name="centro" localSheetId="10">#REF!</definedName>
    <definedName name="centro" localSheetId="11">#REF!</definedName>
    <definedName name="centro" localSheetId="12">#REF!</definedName>
    <definedName name="centro" localSheetId="13">#REF!</definedName>
    <definedName name="centro" localSheetId="14">#REF!</definedName>
    <definedName name="centro" localSheetId="15">#REF!</definedName>
    <definedName name="centro">#REF!</definedName>
    <definedName name="contestar" localSheetId="2">#REF!</definedName>
    <definedName name="contestar" localSheetId="1">#REF!</definedName>
    <definedName name="contestar" localSheetId="15">#REF!</definedName>
    <definedName name="contestar">#REF!</definedName>
    <definedName name="cuadro2a" localSheetId="2">#REF!</definedName>
    <definedName name="cuadro2a" localSheetId="1">#REF!</definedName>
    <definedName name="cuadro2a" localSheetId="15">#REF!</definedName>
    <definedName name="cuadro2a">#REF!</definedName>
    <definedName name="CULTIVOS">[1]Hoja1!$AK$1:$AK$99</definedName>
    <definedName name="d" localSheetId="2">#REF!</definedName>
    <definedName name="d" localSheetId="6">#REF!</definedName>
    <definedName name="d" localSheetId="7">#REF!</definedName>
    <definedName name="d" localSheetId="9">#REF!</definedName>
    <definedName name="d" localSheetId="10">#REF!</definedName>
    <definedName name="d" localSheetId="11">#REF!</definedName>
    <definedName name="d" localSheetId="12">#REF!</definedName>
    <definedName name="d" localSheetId="13">#REF!</definedName>
    <definedName name="d" localSheetId="14">#REF!</definedName>
    <definedName name="d" localSheetId="15">#REF!</definedName>
    <definedName name="d">#REF!</definedName>
    <definedName name="desconocido" localSheetId="2">#REF!</definedName>
    <definedName name="desconocido" localSheetId="1">#REF!</definedName>
    <definedName name="desconocido" localSheetId="15">#REF!</definedName>
    <definedName name="desconocido">#REF!</definedName>
    <definedName name="Desespero" localSheetId="2">#REF!</definedName>
    <definedName name="Desespero" localSheetId="1">#REF!</definedName>
    <definedName name="Desespero" localSheetId="15">#REF!</definedName>
    <definedName name="Desespero">#REF!</definedName>
    <definedName name="DME_Dirty" hidden="1">"False"</definedName>
    <definedName name="DME_LocalFile" hidden="1">"True"</definedName>
    <definedName name="Extraordinario" localSheetId="2">#REF!</definedName>
    <definedName name="Extraordinario" localSheetId="1">#REF!</definedName>
    <definedName name="Extraordinario" localSheetId="6">#REF!</definedName>
    <definedName name="Extraordinario" localSheetId="7">#REF!</definedName>
    <definedName name="Extraordinario" localSheetId="9">#REF!</definedName>
    <definedName name="Extraordinario" localSheetId="10">#REF!</definedName>
    <definedName name="Extraordinario" localSheetId="11">#REF!</definedName>
    <definedName name="Extraordinario" localSheetId="12">#REF!</definedName>
    <definedName name="Extraordinario" localSheetId="13">#REF!</definedName>
    <definedName name="Extraordinario" localSheetId="14">#REF!</definedName>
    <definedName name="Extraordinario" localSheetId="15">#REF!</definedName>
    <definedName name="Extraordinario">#REF!</definedName>
    <definedName name="FECHA" localSheetId="2">#REF!</definedName>
    <definedName name="FECHA" localSheetId="1">#REF!</definedName>
    <definedName name="FECHA" localSheetId="15">#REF!</definedName>
    <definedName name="FECHA">#REF!</definedName>
    <definedName name="ffffddddd" localSheetId="2">#REF!</definedName>
    <definedName name="ffffddddd" localSheetId="1">#REF!</definedName>
    <definedName name="ffffddddd" localSheetId="15">#REF!</definedName>
    <definedName name="ffffddddd">#REF!</definedName>
    <definedName name="fffsd" localSheetId="2">#REF!</definedName>
    <definedName name="fffsd">#REF!</definedName>
    <definedName name="fgfgfg" localSheetId="2">#REF!</definedName>
    <definedName name="fgfgfg">#REF!</definedName>
    <definedName name="fhfhfhfjjj" localSheetId="2">#REF!</definedName>
    <definedName name="fhfhfhfjjj">#REF!</definedName>
    <definedName name="ggg" localSheetId="2">#REF!</definedName>
    <definedName name="ggg">#REF!</definedName>
    <definedName name="ggggg" localSheetId="2">#REF!</definedName>
    <definedName name="ggggg">#REF!</definedName>
    <definedName name="gggggg" localSheetId="2">#REF!</definedName>
    <definedName name="gggggg">#REF!</definedName>
    <definedName name="gggggg5" localSheetId="2">#REF!</definedName>
    <definedName name="gggggg5">#REF!</definedName>
    <definedName name="global" localSheetId="2">#REF!</definedName>
    <definedName name="global">#REF!</definedName>
    <definedName name="hfhfhfhfhf" localSheetId="2">#REF!</definedName>
    <definedName name="hfhfhfhfhf">#REF!</definedName>
    <definedName name="hhh" localSheetId="2">#REF!</definedName>
    <definedName name="hhh">#REF!</definedName>
    <definedName name="hijo" localSheetId="2">#REF!</definedName>
    <definedName name="hijo">#REF!</definedName>
    <definedName name="hoas" localSheetId="2">#REF!</definedName>
    <definedName name="hoas">#REF!</definedName>
    <definedName name="hoja" localSheetId="2">#REF!</definedName>
    <definedName name="hoja">#REF!</definedName>
    <definedName name="idea" localSheetId="2">#REF!</definedName>
    <definedName name="idea">#REF!</definedName>
    <definedName name="Increible" localSheetId="2">#REF!</definedName>
    <definedName name="Increible">#REF!</definedName>
    <definedName name="jjjjjjjjkkkk" localSheetId="2">#REF!</definedName>
    <definedName name="jjjjjjjjkkkk">#REF!</definedName>
    <definedName name="jjjkkkk" localSheetId="2">#REF!</definedName>
    <definedName name="jjjkkkk">#REF!</definedName>
    <definedName name="joder" localSheetId="2">#REF!</definedName>
    <definedName name="joder">#REF!</definedName>
    <definedName name="kkkkkkk" localSheetId="2">#REF!</definedName>
    <definedName name="kkkkkkk">#REF!</definedName>
    <definedName name="Lista1" localSheetId="1">[2]Datos!$E$4:$E$6</definedName>
    <definedName name="Lista1" localSheetId="0">[3]Datos!$E$4:$E$6</definedName>
    <definedName name="Lista1">[4]Datos!$E$4:$E$6</definedName>
    <definedName name="Logico">[5]Configuracion!$A$4:$A$5</definedName>
    <definedName name="Mamada" localSheetId="2">#REF!</definedName>
    <definedName name="Mamada" localSheetId="1">#REF!</definedName>
    <definedName name="Mamada" localSheetId="6">#REF!</definedName>
    <definedName name="Mamada" localSheetId="7">#REF!</definedName>
    <definedName name="Mamada" localSheetId="9">#REF!</definedName>
    <definedName name="Mamada" localSheetId="10">#REF!</definedName>
    <definedName name="Mamada" localSheetId="11">#REF!</definedName>
    <definedName name="Mamada" localSheetId="12">#REF!</definedName>
    <definedName name="Mamada" localSheetId="13">#REF!</definedName>
    <definedName name="Mamada" localSheetId="14">#REF!</definedName>
    <definedName name="Mamada" localSheetId="15">#REF!</definedName>
    <definedName name="Mamada">#REF!</definedName>
    <definedName name="manera" localSheetId="2">#REF!</definedName>
    <definedName name="manera" localSheetId="1">#REF!</definedName>
    <definedName name="manera" localSheetId="15">#REF!</definedName>
    <definedName name="manera">#REF!</definedName>
    <definedName name="marina" localSheetId="2">#REF!</definedName>
    <definedName name="marina" localSheetId="1">#REF!</definedName>
    <definedName name="marina" localSheetId="15">#REF!</definedName>
    <definedName name="marina">#REF!</definedName>
    <definedName name="marta" localSheetId="2">#REF!</definedName>
    <definedName name="marta">#REF!</definedName>
    <definedName name="mundo" localSheetId="2">#REF!</definedName>
    <definedName name="mundo">#REF!</definedName>
    <definedName name="Nada" localSheetId="2">#REF!</definedName>
    <definedName name="Nada">#REF!</definedName>
    <definedName name="Naturaleza1" localSheetId="2">#REF!</definedName>
    <definedName name="Naturaleza1">#REF!</definedName>
    <definedName name="necesito" localSheetId="2">#REF!</definedName>
    <definedName name="necesito">#REF!</definedName>
    <definedName name="ninguna" localSheetId="2">#REF!</definedName>
    <definedName name="ninguna">#REF!</definedName>
    <definedName name="Noto" localSheetId="2">#REF!</definedName>
    <definedName name="Noto">#REF!</definedName>
    <definedName name="Notorio" localSheetId="2">#REF!</definedName>
    <definedName name="Notorio">#REF!</definedName>
    <definedName name="otro" localSheetId="2">#REF!</definedName>
    <definedName name="otro">#REF!</definedName>
    <definedName name="paises" localSheetId="2">[6]COD!$A$1:$B$275</definedName>
    <definedName name="paises">[7]COD!$A$1:$B$275</definedName>
    <definedName name="pasara" localSheetId="2">#REF!</definedName>
    <definedName name="pasara" localSheetId="1">#REF!</definedName>
    <definedName name="pasara" localSheetId="6">#REF!</definedName>
    <definedName name="pasara" localSheetId="7">#REF!</definedName>
    <definedName name="pasara" localSheetId="9">#REF!</definedName>
    <definedName name="pasara" localSheetId="10">#REF!</definedName>
    <definedName name="pasara" localSheetId="11">#REF!</definedName>
    <definedName name="pasara" localSheetId="12">#REF!</definedName>
    <definedName name="pasara" localSheetId="13">#REF!</definedName>
    <definedName name="pasara" localSheetId="14">#REF!</definedName>
    <definedName name="pasara" localSheetId="15">#REF!</definedName>
    <definedName name="pasara">#REF!</definedName>
    <definedName name="pastor" localSheetId="2">#REF!</definedName>
    <definedName name="pastor" localSheetId="1">#REF!</definedName>
    <definedName name="pastor" localSheetId="15">#REF!</definedName>
    <definedName name="pastor">#REF!</definedName>
    <definedName name="pensando" localSheetId="2">#REF!</definedName>
    <definedName name="pensando" localSheetId="1">#REF!</definedName>
    <definedName name="pensando" localSheetId="15">#REF!</definedName>
    <definedName name="pensando">#REF!</definedName>
    <definedName name="PERIODO" localSheetId="2">#REF!</definedName>
    <definedName name="PERIODO">#REF!</definedName>
    <definedName name="piso" localSheetId="2">#REF!</definedName>
    <definedName name="piso">#REF!</definedName>
    <definedName name="PRODUCCION" localSheetId="2">#REF!</definedName>
    <definedName name="PRODUCCION" localSheetId="15">#REF!</definedName>
    <definedName name="PRODUCCION">#REF!</definedName>
    <definedName name="PROGRAMAS" localSheetId="2">'[8]SECTORES,PROGRAMAS Y SUBPROGRAM'!$C$4:$D$166</definedName>
    <definedName name="PROGRAMAS">'[9]SECTORES,PROGRAMAS Y SUBPROGRAM'!$C$4:$D$171</definedName>
    <definedName name="puntilla" localSheetId="2">#REF!</definedName>
    <definedName name="puntilla" localSheetId="6">#REF!</definedName>
    <definedName name="puntilla" localSheetId="7">#REF!</definedName>
    <definedName name="puntilla" localSheetId="9">#REF!</definedName>
    <definedName name="puntilla" localSheetId="10">#REF!</definedName>
    <definedName name="puntilla" localSheetId="11">#REF!</definedName>
    <definedName name="puntilla" localSheetId="12">#REF!</definedName>
    <definedName name="puntilla" localSheetId="13">#REF!</definedName>
    <definedName name="puntilla" localSheetId="14">#REF!</definedName>
    <definedName name="puntilla" localSheetId="15">#REF!</definedName>
    <definedName name="puntilla">#REF!</definedName>
    <definedName name="quizas" localSheetId="2">#REF!</definedName>
    <definedName name="quizas" localSheetId="15">#REF!</definedName>
    <definedName name="quizas">#REF!</definedName>
    <definedName name="Rama1" localSheetId="2">#REF!</definedName>
    <definedName name="Rama1" localSheetId="15">#REF!</definedName>
    <definedName name="Rama1">#REF!</definedName>
    <definedName name="RangoCriterio2">[10]Detalle!$K:$K</definedName>
    <definedName name="RangoValor">[10]Detalle!$I:$I</definedName>
    <definedName name="RENDIMIENTO" localSheetId="2">#REF!</definedName>
    <definedName name="RENDIMIENTO" localSheetId="1">#REF!</definedName>
    <definedName name="RENDIMIENTO" localSheetId="6">#REF!</definedName>
    <definedName name="RENDIMIENTO" localSheetId="7">#REF!</definedName>
    <definedName name="RENDIMIENTO" localSheetId="9">#REF!</definedName>
    <definedName name="RENDIMIENTO" localSheetId="10">#REF!</definedName>
    <definedName name="RENDIMIENTO" localSheetId="11">#REF!</definedName>
    <definedName name="RENDIMIENTO" localSheetId="12">#REF!</definedName>
    <definedName name="RENDIMIENTO" localSheetId="13">#REF!</definedName>
    <definedName name="RENDIMIENTO" localSheetId="14">#REF!</definedName>
    <definedName name="RENDIMIENTO" localSheetId="15">#REF!</definedName>
    <definedName name="RENDIMIENTO">#REF!</definedName>
    <definedName name="Ruta_Critica_1" localSheetId="2">#REF!</definedName>
    <definedName name="Ruta_Critica_1" localSheetId="15">#REF!</definedName>
    <definedName name="Ruta_Critica_1">#REF!</definedName>
    <definedName name="santa" localSheetId="2">#REF!</definedName>
    <definedName name="santa" localSheetId="1">#REF!</definedName>
    <definedName name="santa" localSheetId="15">#REF!</definedName>
    <definedName name="santa">#REF!</definedName>
    <definedName name="secores">'[11]Sectores y Programas'!$H$5:$I$34</definedName>
    <definedName name="Sector1">[12]Cuentas_Corrientes!$A$133:$I$133</definedName>
    <definedName name="Sector3" localSheetId="2">#REF!</definedName>
    <definedName name="Sector3" localSheetId="1">#REF!</definedName>
    <definedName name="Sector3" localSheetId="6">#REF!</definedName>
    <definedName name="Sector3" localSheetId="7">#REF!</definedName>
    <definedName name="Sector3" localSheetId="9">#REF!</definedName>
    <definedName name="Sector3" localSheetId="10">#REF!</definedName>
    <definedName name="Sector3" localSheetId="11">#REF!</definedName>
    <definedName name="Sector3" localSheetId="12">#REF!</definedName>
    <definedName name="Sector3" localSheetId="13">#REF!</definedName>
    <definedName name="Sector3" localSheetId="14">#REF!</definedName>
    <definedName name="Sector3" localSheetId="15">#REF!</definedName>
    <definedName name="Sector3">#REF!</definedName>
    <definedName name="Sector4" localSheetId="2">#REF!</definedName>
    <definedName name="Sector4" localSheetId="1">#REF!</definedName>
    <definedName name="Sector4" localSheetId="15">#REF!</definedName>
    <definedName name="Sector4">#REF!</definedName>
    <definedName name="SECTORES">[9]!SECTOR[[#All],[Codigo ]:[Nombre ]]</definedName>
    <definedName name="septico" localSheetId="2">#REF!</definedName>
    <definedName name="septico" localSheetId="1">#REF!</definedName>
    <definedName name="septico" localSheetId="6">#REF!</definedName>
    <definedName name="septico" localSheetId="7">#REF!</definedName>
    <definedName name="septico" localSheetId="9">#REF!</definedName>
    <definedName name="septico" localSheetId="10">#REF!</definedName>
    <definedName name="septico" localSheetId="11">#REF!</definedName>
    <definedName name="septico" localSheetId="12">#REF!</definedName>
    <definedName name="septico" localSheetId="13">#REF!</definedName>
    <definedName name="septico" localSheetId="14">#REF!</definedName>
    <definedName name="septico" localSheetId="15">#REF!</definedName>
    <definedName name="septico">#REF!</definedName>
    <definedName name="suerte" localSheetId="2">#REF!</definedName>
    <definedName name="suerte" localSheetId="15">#REF!</definedName>
    <definedName name="suerte">#REF!</definedName>
    <definedName name="Tabla_asignación" localSheetId="2">#REF!</definedName>
    <definedName name="Tabla_asignación" localSheetId="15">#REF!</definedName>
    <definedName name="Tabla_asignación">#REF!</definedName>
    <definedName name="Tabla_Recursos" localSheetId="2">#REF!</definedName>
    <definedName name="Tabla_Recursos">#REF!</definedName>
    <definedName name="tendre" localSheetId="2">#REF!</definedName>
    <definedName name="tendre">#REF!</definedName>
    <definedName name="tener" localSheetId="2">#REF!</definedName>
    <definedName name="tener">#REF!</definedName>
    <definedName name="tierra" localSheetId="2">#REF!</definedName>
    <definedName name="tierra">#REF!</definedName>
    <definedName name="TIR" localSheetId="2">#REF!</definedName>
    <definedName name="TIR">#REF!</definedName>
    <definedName name="TITULO" localSheetId="2">#REF!</definedName>
    <definedName name="TITULO">#REF!</definedName>
    <definedName name="_xlnm.Print_Titles" localSheetId="2">#REF!,#REF!</definedName>
    <definedName name="_xlnm.Print_Titles" localSheetId="1">#REF!,#REF!</definedName>
    <definedName name="_xlnm.Print_Titles" localSheetId="6">#REF!,#REF!</definedName>
    <definedName name="_xlnm.Print_Titles" localSheetId="7">#REF!,#REF!</definedName>
    <definedName name="_xlnm.Print_Titles" localSheetId="9">#REF!,#REF!</definedName>
    <definedName name="_xlnm.Print_Titles" localSheetId="10">#REF!,#REF!</definedName>
    <definedName name="_xlnm.Print_Titles" localSheetId="11">#REF!,#REF!</definedName>
    <definedName name="_xlnm.Print_Titles" localSheetId="12">#REF!,#REF!</definedName>
    <definedName name="_xlnm.Print_Titles" localSheetId="13">#REF!,#REF!</definedName>
    <definedName name="_xlnm.Print_Titles" localSheetId="14">#REF!,#REF!</definedName>
    <definedName name="_xlnm.Print_Titles" localSheetId="15">#REF!,#REF!</definedName>
    <definedName name="_xlnm.Print_Titles">#REF!,#REF!</definedName>
    <definedName name="Ton">[13]Parámetros!$B$4</definedName>
    <definedName name="Totaldepto" localSheetId="2">#REF!</definedName>
    <definedName name="Totaldepto" localSheetId="1">#REF!</definedName>
    <definedName name="Totaldepto" localSheetId="6">#REF!</definedName>
    <definedName name="Totaldepto" localSheetId="7">#REF!</definedName>
    <definedName name="Totaldepto" localSheetId="9">#REF!</definedName>
    <definedName name="Totaldepto" localSheetId="10">#REF!</definedName>
    <definedName name="Totaldepto" localSheetId="11">#REF!</definedName>
    <definedName name="Totaldepto" localSheetId="12">#REF!</definedName>
    <definedName name="Totaldepto" localSheetId="13">#REF!</definedName>
    <definedName name="Totaldepto" localSheetId="14">#REF!</definedName>
    <definedName name="Totaldepto" localSheetId="15">#REF!</definedName>
    <definedName name="Totaldepto">#REF!</definedName>
    <definedName name="Transaccion1" localSheetId="2">#REF!</definedName>
    <definedName name="Transaccion1" localSheetId="1">#REF!</definedName>
    <definedName name="Transaccion1" localSheetId="15">#REF!</definedName>
    <definedName name="Transaccion1">#REF!</definedName>
    <definedName name="Valoracion1" localSheetId="2">#REF!</definedName>
    <definedName name="Valoracion1" localSheetId="1">#REF!</definedName>
    <definedName name="Valoracion1" localSheetId="15">#REF!</definedName>
    <definedName name="Valoracion1">#REF!</definedName>
    <definedName name="vives" localSheetId="2">#REF!</definedName>
    <definedName name="viv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7" i="28" l="1"/>
  <c r="A8" i="28"/>
  <c r="A9" i="28"/>
  <c r="A10" i="28"/>
  <c r="A11" i="28"/>
  <c r="A12" i="28"/>
  <c r="A13" i="28"/>
  <c r="A14" i="28"/>
  <c r="A15" i="28"/>
  <c r="A16" i="28"/>
  <c r="A17" i="28"/>
  <c r="A18" i="28"/>
  <c r="A19" i="28"/>
  <c r="A20" i="28"/>
  <c r="A21" i="28"/>
  <c r="A22" i="28"/>
  <c r="A23" i="28"/>
  <c r="A24" i="28"/>
  <c r="A25" i="28"/>
  <c r="A26" i="28"/>
  <c r="A27" i="28"/>
  <c r="A28" i="28"/>
  <c r="A29" i="28"/>
  <c r="A30" i="28"/>
  <c r="A31" i="28"/>
  <c r="A32" i="28"/>
  <c r="A33" i="28"/>
  <c r="A34" i="28"/>
  <c r="A35" i="28"/>
  <c r="A36" i="28"/>
  <c r="A37" i="28"/>
  <c r="A38" i="28"/>
  <c r="A39" i="28"/>
  <c r="A40" i="28"/>
  <c r="A41" i="28"/>
  <c r="A6" i="28"/>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7" i="14"/>
  <c r="A41" i="21"/>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A14" i="21"/>
  <c r="A13" i="21"/>
  <c r="A12" i="21"/>
  <c r="A11" i="21"/>
  <c r="A10" i="21"/>
  <c r="A9" i="21"/>
  <c r="A8" i="21"/>
  <c r="A7" i="21"/>
  <c r="A6" i="21"/>
  <c r="D669" i="30"/>
  <c r="D668" i="30"/>
  <c r="B636" i="30"/>
  <c r="B637" i="30" s="1"/>
  <c r="C635" i="30"/>
  <c r="D635" i="30" s="1"/>
  <c r="E635" i="30" s="1"/>
  <c r="B635" i="30"/>
  <c r="C634" i="30"/>
  <c r="D634" i="30" s="1"/>
  <c r="E634" i="30" s="1"/>
  <c r="B634" i="30"/>
  <c r="D633" i="30"/>
  <c r="E633" i="30" s="1"/>
  <c r="C633" i="30"/>
  <c r="C625" i="30"/>
  <c r="C624" i="30"/>
  <c r="C623" i="30"/>
  <c r="C622" i="30"/>
  <c r="C626" i="30" s="1"/>
  <c r="C627" i="30" s="1"/>
  <c r="C611" i="30"/>
  <c r="C608" i="30"/>
  <c r="D602" i="30"/>
  <c r="F602" i="30" s="1"/>
  <c r="H602" i="30" s="1"/>
  <c r="D601" i="30"/>
  <c r="F601" i="30" s="1"/>
  <c r="H601" i="30" s="1"/>
  <c r="D600" i="30"/>
  <c r="F600" i="30" s="1"/>
  <c r="H600" i="30" s="1"/>
  <c r="C594" i="30"/>
  <c r="D589" i="30"/>
  <c r="F589" i="30" s="1"/>
  <c r="H589" i="30" s="1"/>
  <c r="D587" i="30"/>
  <c r="F587" i="30" s="1"/>
  <c r="H587" i="30" s="1"/>
  <c r="C585" i="30"/>
  <c r="C658" i="30" s="1"/>
  <c r="F582" i="30"/>
  <c r="K573" i="30" s="1"/>
  <c r="L573" i="30" s="1"/>
  <c r="M573" i="30" s="1"/>
  <c r="E582" i="30"/>
  <c r="K572" i="30" s="1"/>
  <c r="L572" i="30" s="1"/>
  <c r="M572" i="30" s="1"/>
  <c r="D582" i="30"/>
  <c r="C582" i="30"/>
  <c r="I573" i="30"/>
  <c r="J573" i="30" s="1"/>
  <c r="J572" i="30"/>
  <c r="I572" i="30"/>
  <c r="O571" i="30"/>
  <c r="K571" i="30"/>
  <c r="L571" i="30" s="1"/>
  <c r="M571" i="30" s="1"/>
  <c r="J571" i="30"/>
  <c r="I571" i="30"/>
  <c r="O570" i="30"/>
  <c r="K570" i="30"/>
  <c r="L570" i="30" s="1"/>
  <c r="M570" i="30" s="1"/>
  <c r="I570" i="30"/>
  <c r="J570" i="30" s="1"/>
  <c r="N569" i="30"/>
  <c r="O572" i="30" s="1"/>
  <c r="C566" i="30"/>
  <c r="C559" i="30"/>
  <c r="C552" i="30"/>
  <c r="D541" i="30"/>
  <c r="C535" i="30"/>
  <c r="E535" i="30" s="1"/>
  <c r="C537" i="30" s="1"/>
  <c r="D531" i="30"/>
  <c r="F531" i="30" s="1"/>
  <c r="H531" i="30" s="1"/>
  <c r="D530" i="30"/>
  <c r="F530" i="30" s="1"/>
  <c r="H530" i="30" s="1"/>
  <c r="D529" i="30"/>
  <c r="F529" i="30" s="1"/>
  <c r="H529" i="30" s="1"/>
  <c r="C522" i="30"/>
  <c r="C516" i="30"/>
  <c r="C517" i="30" s="1"/>
  <c r="C519" i="30" s="1"/>
  <c r="C505" i="30"/>
  <c r="C504" i="30"/>
  <c r="C506" i="30" s="1"/>
  <c r="C488" i="30"/>
  <c r="C486" i="30"/>
  <c r="C466" i="30"/>
  <c r="D455" i="30"/>
  <c r="D453" i="30"/>
  <c r="D451" i="30"/>
  <c r="D450" i="30"/>
  <c r="C441" i="30"/>
  <c r="C440" i="30"/>
  <c r="C435" i="30"/>
  <c r="C434" i="30"/>
  <c r="C433" i="30"/>
  <c r="C436" i="30" s="1"/>
  <c r="C406" i="30" s="1"/>
  <c r="C429" i="30"/>
  <c r="C417" i="30"/>
  <c r="C416" i="30"/>
  <c r="C421" i="30" s="1"/>
  <c r="C404" i="30" s="1"/>
  <c r="C414" i="30"/>
  <c r="C412" i="30"/>
  <c r="C407" i="30"/>
  <c r="B407" i="30"/>
  <c r="B406" i="30"/>
  <c r="C405" i="30"/>
  <c r="B405" i="30"/>
  <c r="B404" i="30"/>
  <c r="E399" i="30"/>
  <c r="E391" i="30"/>
  <c r="E385" i="30"/>
  <c r="E372" i="30"/>
  <c r="E369" i="30"/>
  <c r="E367" i="30"/>
  <c r="E366" i="30"/>
  <c r="E360" i="30"/>
  <c r="D359" i="30"/>
  <c r="E359" i="30" s="1"/>
  <c r="D358" i="30"/>
  <c r="E358" i="30" s="1"/>
  <c r="E355" i="30"/>
  <c r="E354" i="30"/>
  <c r="D347" i="30"/>
  <c r="E347" i="30" s="1"/>
  <c r="E346" i="30"/>
  <c r="E344" i="30"/>
  <c r="E343" i="30"/>
  <c r="D338" i="30"/>
  <c r="E338" i="30" s="1"/>
  <c r="E337" i="30"/>
  <c r="D336" i="30"/>
  <c r="E336" i="30" s="1"/>
  <c r="E334" i="30"/>
  <c r="D333" i="30"/>
  <c r="E333" i="30" s="1"/>
  <c r="C315" i="30"/>
  <c r="C307" i="30"/>
  <c r="C286" i="30" s="1"/>
  <c r="B299" i="30"/>
  <c r="B298" i="30"/>
  <c r="C297" i="30"/>
  <c r="C296" i="30"/>
  <c r="C292" i="30"/>
  <c r="C291" i="30"/>
  <c r="D370" i="30" s="1"/>
  <c r="E370" i="30" s="1"/>
  <c r="C289" i="30"/>
  <c r="D371" i="30" s="1"/>
  <c r="E371" i="30" s="1"/>
  <c r="C288" i="30"/>
  <c r="C287" i="30"/>
  <c r="D345" i="30" s="1"/>
  <c r="E345" i="30" s="1"/>
  <c r="D281" i="30"/>
  <c r="C281" i="30"/>
  <c r="C489" i="30" s="1"/>
  <c r="C271" i="30"/>
  <c r="C269" i="30"/>
  <c r="C268" i="30"/>
  <c r="C267" i="30"/>
  <c r="C274" i="30" s="1"/>
  <c r="C263" i="30"/>
  <c r="C262" i="30"/>
  <c r="C261" i="30"/>
  <c r="C260" i="30"/>
  <c r="C259" i="30"/>
  <c r="C264" i="30" s="1"/>
  <c r="C219" i="30" s="1"/>
  <c r="C253" i="30"/>
  <c r="C250" i="30"/>
  <c r="C249" i="30"/>
  <c r="C248" i="30"/>
  <c r="C244" i="30"/>
  <c r="C236" i="30"/>
  <c r="C235" i="30"/>
  <c r="C238" i="30" s="1"/>
  <c r="C217" i="30" s="1"/>
  <c r="C221" i="30" s="1"/>
  <c r="C234" i="30"/>
  <c r="C227" i="30"/>
  <c r="C229" i="30" s="1"/>
  <c r="C216" i="30" s="1"/>
  <c r="C220" i="30" s="1"/>
  <c r="C222" i="30"/>
  <c r="B219" i="30"/>
  <c r="B218" i="30"/>
  <c r="B217" i="30"/>
  <c r="C212" i="30"/>
  <c r="C174" i="30"/>
  <c r="C123" i="30"/>
  <c r="C251" i="30" s="1"/>
  <c r="C254" i="30" s="1"/>
  <c r="C218" i="30" s="1"/>
  <c r="C119" i="30"/>
  <c r="C107" i="30"/>
  <c r="C112" i="30" s="1"/>
  <c r="C106" i="30"/>
  <c r="D102" i="30"/>
  <c r="C113" i="30" s="1"/>
  <c r="D101" i="30"/>
  <c r="D100" i="30"/>
  <c r="D99" i="30"/>
  <c r="C91" i="30"/>
  <c r="E65" i="30"/>
  <c r="E64" i="30"/>
  <c r="E63" i="30"/>
  <c r="E62" i="30"/>
  <c r="E61" i="30"/>
  <c r="E60" i="30"/>
  <c r="E59" i="30"/>
  <c r="E58" i="30"/>
  <c r="E57" i="30"/>
  <c r="E56" i="30"/>
  <c r="E55" i="30"/>
  <c r="E54" i="30"/>
  <c r="E53" i="30"/>
  <c r="E52" i="30"/>
  <c r="E51" i="30"/>
  <c r="E50" i="30"/>
  <c r="E49" i="30"/>
  <c r="E48" i="30"/>
  <c r="E47" i="30"/>
  <c r="E46" i="30"/>
  <c r="E45" i="30"/>
  <c r="E44" i="30"/>
  <c r="E43" i="30"/>
  <c r="E42" i="30"/>
  <c r="B13" i="20"/>
  <c r="B12" i="20"/>
  <c r="B11" i="20"/>
  <c r="B10" i="20"/>
  <c r="B9" i="20"/>
  <c r="B8" i="20"/>
  <c r="B4" i="20"/>
  <c r="B9" i="27"/>
  <c r="B4" i="27"/>
  <c r="B8" i="27"/>
  <c r="B9" i="9"/>
  <c r="B8" i="9"/>
  <c r="B4" i="9"/>
  <c r="B12" i="8"/>
  <c r="B11" i="8"/>
  <c r="B10" i="8"/>
  <c r="B9" i="8"/>
  <c r="B8" i="8"/>
  <c r="B4" i="8"/>
  <c r="B8" i="25"/>
  <c r="B4" i="25"/>
  <c r="B9" i="24"/>
  <c r="B8" i="24"/>
  <c r="B4" i="24"/>
  <c r="B12" i="23"/>
  <c r="B11" i="23"/>
  <c r="B10" i="23"/>
  <c r="B9" i="23"/>
  <c r="B8" i="23"/>
  <c r="B4" i="23"/>
  <c r="B9" i="22"/>
  <c r="B8" i="22"/>
  <c r="B4" i="22"/>
  <c r="B9" i="5"/>
  <c r="B8" i="5"/>
  <c r="B4" i="5"/>
  <c r="D356" i="30" l="1"/>
  <c r="E356" i="30" s="1"/>
  <c r="E361" i="30" s="1"/>
  <c r="C295" i="30" s="1"/>
  <c r="D335" i="30"/>
  <c r="C523" i="30"/>
  <c r="D660" i="30"/>
  <c r="F660" i="30" s="1"/>
  <c r="H660" i="30" s="1"/>
  <c r="D662" i="30"/>
  <c r="F662" i="30" s="1"/>
  <c r="H662" i="30" s="1"/>
  <c r="D661" i="30"/>
  <c r="F661" i="30" s="1"/>
  <c r="H661" i="30" s="1"/>
  <c r="F634" i="30"/>
  <c r="G634" i="30" s="1"/>
  <c r="C114" i="30"/>
  <c r="C637" i="30"/>
  <c r="D637" i="30" s="1"/>
  <c r="E637" i="30" s="1"/>
  <c r="B638" i="30"/>
  <c r="C443" i="30"/>
  <c r="C636" i="30"/>
  <c r="D636" i="30" s="1"/>
  <c r="E636" i="30" s="1"/>
  <c r="D348" i="30"/>
  <c r="E348" i="30" s="1"/>
  <c r="E349" i="30" s="1"/>
  <c r="C294" i="30" s="1"/>
  <c r="C442" i="30"/>
  <c r="C487" i="30"/>
  <c r="D390" i="30"/>
  <c r="E390" i="30" s="1"/>
  <c r="E392" i="30" s="1"/>
  <c r="C299" i="30" s="1"/>
  <c r="D588" i="30"/>
  <c r="F588" i="30" s="1"/>
  <c r="H588" i="30" s="1"/>
  <c r="F632" i="30"/>
  <c r="F633" i="30" s="1"/>
  <c r="G633" i="30" s="1"/>
  <c r="D368" i="30"/>
  <c r="E368" i="30" s="1"/>
  <c r="E373" i="30" s="1"/>
  <c r="O573" i="30"/>
  <c r="F637" i="30" l="1"/>
  <c r="G637" i="30" s="1"/>
  <c r="F635" i="30"/>
  <c r="G635" i="30" s="1"/>
  <c r="C638" i="30"/>
  <c r="D638" i="30" s="1"/>
  <c r="E638" i="30" s="1"/>
  <c r="F638" i="30" s="1"/>
  <c r="G638" i="30" s="1"/>
  <c r="B639" i="30"/>
  <c r="F636" i="30"/>
  <c r="G636" i="30" s="1"/>
  <c r="E335" i="30"/>
  <c r="E339" i="30" s="1"/>
  <c r="C293" i="30" s="1"/>
  <c r="D397" i="30" s="1"/>
  <c r="E397" i="30" s="1"/>
  <c r="E400" i="30" s="1"/>
  <c r="D384" i="30"/>
  <c r="E384" i="30" s="1"/>
  <c r="E386" i="30" s="1"/>
  <c r="C298" i="30" s="1"/>
  <c r="B640" i="30" l="1"/>
  <c r="C639" i="30"/>
  <c r="D639" i="30" s="1"/>
  <c r="E639" i="30" s="1"/>
  <c r="F639" i="30" s="1"/>
  <c r="G639" i="30" s="1"/>
  <c r="B641" i="30" l="1"/>
  <c r="C640" i="30"/>
  <c r="D640" i="30" s="1"/>
  <c r="E640" i="30" s="1"/>
  <c r="F640" i="30" s="1"/>
  <c r="G640" i="30" s="1"/>
  <c r="C641" i="30" l="1"/>
  <c r="D641" i="30" s="1"/>
  <c r="E641" i="30" s="1"/>
  <c r="F641" i="30" s="1"/>
  <c r="G641" i="30" s="1"/>
  <c r="B642" i="30"/>
  <c r="C642" i="30" l="1"/>
  <c r="D642" i="30" s="1"/>
  <c r="E642" i="30" s="1"/>
  <c r="F642" i="30" s="1"/>
  <c r="G642" i="30" s="1"/>
  <c r="B643" i="30"/>
  <c r="C643" i="30" l="1"/>
  <c r="D643" i="30" s="1"/>
  <c r="E643" i="30" s="1"/>
  <c r="F643" i="30" s="1"/>
  <c r="G643" i="30" s="1"/>
  <c r="B644" i="30"/>
  <c r="B645" i="30" l="1"/>
  <c r="C644" i="30"/>
  <c r="D644" i="30" s="1"/>
  <c r="E644" i="30" s="1"/>
  <c r="F644" i="30" s="1"/>
  <c r="G644" i="30" s="1"/>
  <c r="C645" i="30" l="1"/>
  <c r="D645" i="30" s="1"/>
  <c r="E645" i="30" s="1"/>
  <c r="F645" i="30" s="1"/>
  <c r="G645" i="30" s="1"/>
  <c r="B646" i="30"/>
  <c r="C646" i="30" l="1"/>
  <c r="D646" i="30" s="1"/>
  <c r="E646" i="30" s="1"/>
  <c r="F646" i="30" s="1"/>
  <c r="G646" i="30" s="1"/>
  <c r="B647" i="30"/>
  <c r="B648" i="30" l="1"/>
  <c r="C647" i="30"/>
  <c r="D647" i="30" s="1"/>
  <c r="E647" i="30" s="1"/>
  <c r="F647" i="30" s="1"/>
  <c r="G647" i="30" s="1"/>
  <c r="B649" i="30" l="1"/>
  <c r="C648" i="30"/>
  <c r="D648" i="30" s="1"/>
  <c r="E648" i="30" s="1"/>
  <c r="F648" i="30" s="1"/>
  <c r="G648" i="30" s="1"/>
  <c r="C649" i="30" l="1"/>
  <c r="D649" i="30" s="1"/>
  <c r="E649" i="30" s="1"/>
  <c r="F649" i="30" s="1"/>
  <c r="G649" i="30" s="1"/>
  <c r="B650" i="30"/>
  <c r="C650" i="30" l="1"/>
  <c r="D650" i="30" s="1"/>
  <c r="E650" i="30" s="1"/>
  <c r="F650" i="30" s="1"/>
  <c r="G650" i="30" s="1"/>
  <c r="B651" i="30"/>
  <c r="C651" i="30" l="1"/>
  <c r="D651" i="30" s="1"/>
  <c r="E651" i="30" s="1"/>
  <c r="F651" i="30" s="1"/>
  <c r="G651" i="30" s="1"/>
  <c r="B652" i="30"/>
  <c r="C652" i="30" s="1"/>
  <c r="D652" i="30" s="1"/>
  <c r="E652" i="30" s="1"/>
  <c r="F652" i="30" s="1"/>
  <c r="G652" i="30" s="1"/>
  <c r="C53" i="24" l="1"/>
  <c r="H58" i="27" l="1"/>
  <c r="H20" i="20"/>
  <c r="H78" i="23" l="1"/>
  <c r="H79" i="23"/>
  <c r="H77" i="23"/>
  <c r="H90" i="23" l="1"/>
  <c r="H112" i="23" l="1"/>
  <c r="H30" i="23"/>
  <c r="H31" i="23"/>
  <c r="H29" i="23"/>
  <c r="H29" i="22" l="1"/>
  <c r="E39" i="22"/>
  <c r="H35" i="22"/>
  <c r="H34" i="22"/>
  <c r="H22" i="22"/>
  <c r="H50" i="20"/>
  <c r="H28" i="23"/>
  <c r="H27" i="23"/>
  <c r="H35" i="8"/>
  <c r="H129" i="8"/>
  <c r="H110" i="8"/>
  <c r="H130" i="23"/>
  <c r="E34" i="14"/>
  <c r="H54" i="8" l="1"/>
  <c r="F34" i="21"/>
  <c r="G34" i="21"/>
  <c r="I34" i="21"/>
  <c r="J34" i="21"/>
  <c r="L34" i="21"/>
  <c r="M34" i="21"/>
  <c r="O34" i="21"/>
  <c r="P34" i="21"/>
  <c r="R34" i="21"/>
  <c r="S34" i="21"/>
  <c r="U34" i="21"/>
  <c r="H33" i="21"/>
  <c r="I33" i="21"/>
  <c r="J33" i="21"/>
  <c r="K33" i="21"/>
  <c r="L33" i="21"/>
  <c r="M33" i="21"/>
  <c r="N33" i="21"/>
  <c r="O33" i="21"/>
  <c r="P33" i="21"/>
  <c r="Q33" i="21"/>
  <c r="R33" i="21"/>
  <c r="S33" i="21"/>
  <c r="T33" i="21"/>
  <c r="U33" i="21"/>
  <c r="I32" i="21"/>
  <c r="J32" i="21"/>
  <c r="L32" i="21"/>
  <c r="M32" i="21"/>
  <c r="O32" i="21"/>
  <c r="P32" i="21"/>
  <c r="R32" i="21"/>
  <c r="S32" i="21"/>
  <c r="U32" i="21"/>
  <c r="C63" i="27"/>
  <c r="H63" i="27" s="1"/>
  <c r="H62" i="27"/>
  <c r="C62" i="27"/>
  <c r="H61" i="27"/>
  <c r="H60" i="27" s="1"/>
  <c r="H59" i="27"/>
  <c r="H57" i="27" s="1"/>
  <c r="H56" i="27" s="1"/>
  <c r="H55" i="27"/>
  <c r="H54" i="27"/>
  <c r="C53" i="27"/>
  <c r="H53" i="27" s="1"/>
  <c r="H52" i="27" s="1"/>
  <c r="H50" i="27" s="1"/>
  <c r="C51" i="27" s="1"/>
  <c r="H51" i="27" s="1"/>
  <c r="C49" i="27" s="1"/>
  <c r="H49" i="27" s="1"/>
  <c r="H47" i="27"/>
  <c r="H46" i="27"/>
  <c r="H45" i="27"/>
  <c r="H44" i="27" s="1"/>
  <c r="H43" i="27" s="1"/>
  <c r="H42" i="27" s="1"/>
  <c r="H41" i="27" s="1"/>
  <c r="H40" i="27" s="1"/>
  <c r="H30" i="27" s="1"/>
  <c r="H29" i="27" s="1"/>
  <c r="H28" i="27"/>
  <c r="C27" i="27"/>
  <c r="H27" i="27" s="1"/>
  <c r="H26" i="27"/>
  <c r="H25" i="27"/>
  <c r="H24" i="27" s="1"/>
  <c r="H23" i="27"/>
  <c r="H22" i="27" s="1"/>
  <c r="H21" i="27"/>
  <c r="H20" i="27" s="1"/>
  <c r="H19" i="27" s="1"/>
  <c r="H18" i="27"/>
  <c r="H17" i="27" s="1"/>
  <c r="H16" i="27" s="1"/>
  <c r="B13" i="27"/>
  <c r="X9" i="27"/>
  <c r="V9" i="27"/>
  <c r="V7" i="27" s="1"/>
  <c r="U9" i="27"/>
  <c r="U7" i="27" s="1"/>
  <c r="S9" i="27"/>
  <c r="R9" i="27"/>
  <c r="P9" i="27"/>
  <c r="O9" i="27"/>
  <c r="M9" i="27"/>
  <c r="L9" i="27"/>
  <c r="J9" i="27"/>
  <c r="I9" i="27"/>
  <c r="B38" i="27" s="1"/>
  <c r="X8" i="27"/>
  <c r="W8" i="27"/>
  <c r="V8" i="27"/>
  <c r="U8" i="27"/>
  <c r="T8" i="27"/>
  <c r="S8" i="27"/>
  <c r="R8" i="27"/>
  <c r="Q8" i="27"/>
  <c r="P8" i="27"/>
  <c r="O8" i="27"/>
  <c r="N8" i="27"/>
  <c r="M8" i="27"/>
  <c r="L8" i="27"/>
  <c r="L7" i="27" s="1"/>
  <c r="K8" i="27"/>
  <c r="X7" i="27"/>
  <c r="S7" i="27"/>
  <c r="P7" i="27"/>
  <c r="O7" i="27"/>
  <c r="F22" i="21"/>
  <c r="G22" i="21"/>
  <c r="I22" i="21"/>
  <c r="J22" i="21"/>
  <c r="L22" i="21"/>
  <c r="M22" i="21"/>
  <c r="O22" i="21"/>
  <c r="P22" i="21"/>
  <c r="R22" i="21"/>
  <c r="S22" i="21"/>
  <c r="U22" i="21"/>
  <c r="F21" i="21"/>
  <c r="G21" i="21"/>
  <c r="I21" i="21"/>
  <c r="J21" i="21"/>
  <c r="L21" i="21"/>
  <c r="M21" i="21"/>
  <c r="O21" i="21"/>
  <c r="P21" i="21"/>
  <c r="R21" i="21"/>
  <c r="S21" i="21"/>
  <c r="U21" i="21"/>
  <c r="C31" i="25"/>
  <c r="H31" i="25" s="1"/>
  <c r="H30" i="25" s="1"/>
  <c r="C32" i="25" s="1"/>
  <c r="H32" i="25" s="1"/>
  <c r="H29" i="25" s="1"/>
  <c r="H28" i="25"/>
  <c r="H27" i="25" s="1"/>
  <c r="H26" i="25" s="1"/>
  <c r="H25" i="25" s="1"/>
  <c r="H24" i="25" s="1"/>
  <c r="H23" i="25" s="1"/>
  <c r="H22" i="25" s="1"/>
  <c r="H21" i="25"/>
  <c r="H20" i="25" s="1"/>
  <c r="H19" i="25" s="1"/>
  <c r="H18" i="25" s="1"/>
  <c r="H17" i="25"/>
  <c r="H16" i="25" s="1"/>
  <c r="H15" i="25" s="1"/>
  <c r="X8" i="25"/>
  <c r="V8" i="25"/>
  <c r="U8" i="25"/>
  <c r="U7" i="25" s="1"/>
  <c r="S8" i="25"/>
  <c r="R8" i="25"/>
  <c r="P8" i="25"/>
  <c r="O8" i="25"/>
  <c r="O7" i="25" s="1"/>
  <c r="M8" i="25"/>
  <c r="M7" i="25" s="1"/>
  <c r="L8" i="25"/>
  <c r="L7" i="25" s="1"/>
  <c r="J8" i="25"/>
  <c r="I8" i="25"/>
  <c r="B12" i="25" s="1"/>
  <c r="X7" i="25"/>
  <c r="V7" i="25"/>
  <c r="S7" i="25"/>
  <c r="R7" i="25"/>
  <c r="P7" i="25"/>
  <c r="J7" i="25"/>
  <c r="H52" i="24" l="1"/>
  <c r="I7" i="25"/>
  <c r="M7" i="27"/>
  <c r="R7" i="27"/>
  <c r="H33" i="27"/>
  <c r="H48" i="27"/>
  <c r="H65" i="27" s="1"/>
  <c r="Q9" i="27" l="1"/>
  <c r="F9" i="27"/>
  <c r="C34" i="21" s="1"/>
  <c r="N9" i="27"/>
  <c r="W9" i="27"/>
  <c r="G9" i="27"/>
  <c r="D34" i="21" s="1"/>
  <c r="T9" i="27"/>
  <c r="K9" i="27"/>
  <c r="H66" i="27"/>
  <c r="H8" i="27"/>
  <c r="E33" i="21" s="1"/>
  <c r="H34" i="27"/>
  <c r="E8" i="27" s="1"/>
  <c r="B33" i="21" s="1"/>
  <c r="G8" i="27"/>
  <c r="F8" i="27"/>
  <c r="C33" i="21" s="1"/>
  <c r="I8" i="27"/>
  <c r="N7" i="27" l="1"/>
  <c r="K32" i="21" s="1"/>
  <c r="K34" i="21"/>
  <c r="K7" i="27"/>
  <c r="H32" i="21" s="1"/>
  <c r="H34" i="21"/>
  <c r="T7" i="27"/>
  <c r="Q32" i="21" s="1"/>
  <c r="Q34" i="21"/>
  <c r="W7" i="27"/>
  <c r="T32" i="21" s="1"/>
  <c r="T34" i="21"/>
  <c r="Q7" i="27"/>
  <c r="N32" i="21" s="1"/>
  <c r="N34" i="21"/>
  <c r="G7" i="27"/>
  <c r="D32" i="21" s="1"/>
  <c r="D33" i="21"/>
  <c r="C34" i="14" s="1"/>
  <c r="I7" i="27"/>
  <c r="F32" i="21" s="1"/>
  <c r="F33" i="21"/>
  <c r="E9" i="27"/>
  <c r="B34" i="21" s="1"/>
  <c r="H9" i="27"/>
  <c r="J8" i="27"/>
  <c r="F7" i="27"/>
  <c r="C32" i="21" s="1"/>
  <c r="D35" i="14" l="1"/>
  <c r="E35" i="14"/>
  <c r="H7" i="27"/>
  <c r="E32" i="21" s="1"/>
  <c r="E34" i="21"/>
  <c r="C35" i="14" s="1"/>
  <c r="E33" i="14"/>
  <c r="J7" i="27"/>
  <c r="G32" i="21" s="1"/>
  <c r="D33" i="14" s="1"/>
  <c r="G33" i="21"/>
  <c r="D34" i="14" s="1"/>
  <c r="E7" i="27"/>
  <c r="Y8" i="27"/>
  <c r="V33" i="21" s="1"/>
  <c r="Y9" i="27"/>
  <c r="V34" i="21" s="1"/>
  <c r="F19" i="21"/>
  <c r="H19" i="21"/>
  <c r="J19" i="21"/>
  <c r="L19" i="21"/>
  <c r="N19" i="21"/>
  <c r="O19" i="21"/>
  <c r="P19" i="21"/>
  <c r="Q19" i="21"/>
  <c r="R19" i="21"/>
  <c r="S19" i="21"/>
  <c r="T19" i="21"/>
  <c r="U19" i="21"/>
  <c r="H51" i="24"/>
  <c r="H50" i="24" s="1"/>
  <c r="H49" i="24" s="1"/>
  <c r="H48" i="24" s="1"/>
  <c r="H47" i="24" s="1"/>
  <c r="H46" i="24" s="1"/>
  <c r="H45" i="24" s="1"/>
  <c r="H44" i="24" s="1"/>
  <c r="H43" i="24" s="1"/>
  <c r="H42" i="24" s="1"/>
  <c r="H41" i="24" s="1"/>
  <c r="H40" i="24" s="1"/>
  <c r="C39" i="24"/>
  <c r="H39" i="24" s="1"/>
  <c r="H38" i="24"/>
  <c r="H37" i="24" s="1"/>
  <c r="H36" i="24" s="1"/>
  <c r="H35" i="24" s="1"/>
  <c r="H34" i="24"/>
  <c r="H33" i="24" s="1"/>
  <c r="H32" i="24" s="1"/>
  <c r="H31" i="24"/>
  <c r="H21" i="24"/>
  <c r="H20" i="24"/>
  <c r="H19" i="24" s="1"/>
  <c r="H18" i="24"/>
  <c r="H17" i="24"/>
  <c r="H16" i="24"/>
  <c r="E40" i="22"/>
  <c r="H32" i="23"/>
  <c r="B35" i="14" l="1"/>
  <c r="B34" i="28" s="1"/>
  <c r="F22" i="29"/>
  <c r="B34" i="14"/>
  <c r="B33" i="28" s="1"/>
  <c r="F21" i="29"/>
  <c r="G34" i="28"/>
  <c r="F34" i="28"/>
  <c r="H34" i="28"/>
  <c r="H24" i="24"/>
  <c r="H23" i="24" s="1"/>
  <c r="H22" i="24" s="1"/>
  <c r="B29" i="24" s="1"/>
  <c r="B13" i="24" s="1"/>
  <c r="H56" i="24"/>
  <c r="E20" i="14"/>
  <c r="Y7" i="27"/>
  <c r="V32" i="21" s="1"/>
  <c r="B33" i="14" s="1"/>
  <c r="B32" i="28" s="1"/>
  <c r="B32" i="21"/>
  <c r="C33" i="14" s="1"/>
  <c r="G33" i="28"/>
  <c r="H33" i="28"/>
  <c r="F33" i="28"/>
  <c r="H53" i="24"/>
  <c r="H26" i="24" l="1"/>
  <c r="G8" i="24" s="1"/>
  <c r="D19" i="21" s="1"/>
  <c r="F32" i="28"/>
  <c r="C32" i="28" s="1"/>
  <c r="G32" i="28"/>
  <c r="D32" i="28" s="1"/>
  <c r="H32" i="28"/>
  <c r="E32" i="28" s="1"/>
  <c r="P34" i="28"/>
  <c r="N34" i="28"/>
  <c r="O34" i="28"/>
  <c r="M34" i="28"/>
  <c r="H35" i="25"/>
  <c r="H34" i="25" s="1"/>
  <c r="H33" i="25" s="1"/>
  <c r="H37" i="25" s="1"/>
  <c r="H59" i="24"/>
  <c r="P9" i="24" s="1"/>
  <c r="Q9" i="24" s="1"/>
  <c r="R9" i="24" s="1"/>
  <c r="S9" i="24" s="1"/>
  <c r="T9" i="24" s="1"/>
  <c r="U9" i="24" s="1"/>
  <c r="V9" i="24" s="1"/>
  <c r="W9" i="24" s="1"/>
  <c r="X9" i="24" s="1"/>
  <c r="H58" i="24"/>
  <c r="J9" i="24" s="1"/>
  <c r="K9" i="24" s="1"/>
  <c r="L9" i="24" s="1"/>
  <c r="M9" i="24" s="1"/>
  <c r="N9" i="24" s="1"/>
  <c r="O9" i="24" s="1"/>
  <c r="I56" i="24"/>
  <c r="E9" i="24" s="1"/>
  <c r="H57" i="24"/>
  <c r="F9" i="24" s="1"/>
  <c r="G9" i="24" s="1"/>
  <c r="H9" i="24" s="1"/>
  <c r="I9" i="24" s="1"/>
  <c r="P33" i="28"/>
  <c r="O33" i="28"/>
  <c r="M33" i="28"/>
  <c r="N33" i="28"/>
  <c r="F8" i="24" l="1"/>
  <c r="F7" i="24" s="1"/>
  <c r="C18" i="21" s="1"/>
  <c r="H27" i="24"/>
  <c r="H8" i="24" s="1"/>
  <c r="H7" i="24" s="1"/>
  <c r="E18" i="21" s="1"/>
  <c r="P32" i="28"/>
  <c r="O32" i="28"/>
  <c r="K32" i="28" s="1"/>
  <c r="M32" i="28"/>
  <c r="I32" i="28" s="1"/>
  <c r="N32" i="28"/>
  <c r="J32" i="28" s="1"/>
  <c r="W8" i="25"/>
  <c r="N8" i="25"/>
  <c r="F8" i="25"/>
  <c r="T8" i="25"/>
  <c r="Q8" i="25"/>
  <c r="G8" i="25"/>
  <c r="H38" i="25"/>
  <c r="K8" i="25"/>
  <c r="M20" i="21"/>
  <c r="G20" i="21"/>
  <c r="I20" i="21"/>
  <c r="K20" i="21"/>
  <c r="V7" i="24"/>
  <c r="S18" i="21" s="1"/>
  <c r="S20" i="21"/>
  <c r="C20" i="21"/>
  <c r="E20" i="21"/>
  <c r="D20" i="21"/>
  <c r="Y9" i="24"/>
  <c r="V20" i="21" s="1"/>
  <c r="B20" i="21"/>
  <c r="S7" i="24"/>
  <c r="P18" i="21" s="1"/>
  <c r="P20" i="21"/>
  <c r="T7" i="24"/>
  <c r="Q18" i="21" s="1"/>
  <c r="Q20" i="21"/>
  <c r="G7" i="24"/>
  <c r="D18" i="21" s="1"/>
  <c r="M7" i="24"/>
  <c r="J18" i="21" s="1"/>
  <c r="J20" i="21"/>
  <c r="K7" i="24"/>
  <c r="H18" i="21" s="1"/>
  <c r="H20" i="21"/>
  <c r="Q7" i="24"/>
  <c r="N18" i="21" s="1"/>
  <c r="N20" i="21"/>
  <c r="R7" i="24"/>
  <c r="O18" i="21" s="1"/>
  <c r="O20" i="21"/>
  <c r="X7" i="24"/>
  <c r="U18" i="21" s="1"/>
  <c r="U20" i="21"/>
  <c r="W7" i="24"/>
  <c r="T18" i="21" s="1"/>
  <c r="T20" i="21"/>
  <c r="I7" i="24"/>
  <c r="F18" i="21" s="1"/>
  <c r="F20" i="21"/>
  <c r="O7" i="24"/>
  <c r="L18" i="21" s="1"/>
  <c r="L20" i="21"/>
  <c r="U7" i="24"/>
  <c r="R18" i="21" s="1"/>
  <c r="R20" i="21"/>
  <c r="N8" i="24"/>
  <c r="B21" i="14" l="1"/>
  <c r="B20" i="28" s="1"/>
  <c r="F12" i="29"/>
  <c r="P8" i="24"/>
  <c r="E19" i="21"/>
  <c r="J8" i="24"/>
  <c r="J7" i="24" s="1"/>
  <c r="G18" i="21" s="1"/>
  <c r="C19" i="21"/>
  <c r="L8" i="24"/>
  <c r="I19" i="21" s="1"/>
  <c r="E8" i="24"/>
  <c r="E8" i="25"/>
  <c r="H8" i="25"/>
  <c r="N22" i="21"/>
  <c r="Q7" i="25"/>
  <c r="N21" i="21" s="1"/>
  <c r="K7" i="25"/>
  <c r="H21" i="21" s="1"/>
  <c r="H22" i="21"/>
  <c r="G7" i="25"/>
  <c r="D21" i="21" s="1"/>
  <c r="D22" i="21"/>
  <c r="T7" i="25"/>
  <c r="Q21" i="21" s="1"/>
  <c r="Q22" i="21"/>
  <c r="F7" i="25"/>
  <c r="C21" i="21" s="1"/>
  <c r="C22" i="21"/>
  <c r="K22" i="21"/>
  <c r="N7" i="25"/>
  <c r="K21" i="21" s="1"/>
  <c r="T22" i="21"/>
  <c r="W7" i="25"/>
  <c r="T21" i="21" s="1"/>
  <c r="C21" i="14"/>
  <c r="D21" i="14"/>
  <c r="P7" i="24"/>
  <c r="M18" i="21" s="1"/>
  <c r="M19" i="21"/>
  <c r="N7" i="24"/>
  <c r="K18" i="21" s="1"/>
  <c r="K19" i="21"/>
  <c r="E21" i="14"/>
  <c r="L7" i="24"/>
  <c r="I18" i="21" s="1"/>
  <c r="E19" i="14"/>
  <c r="F20" i="28"/>
  <c r="G20" i="28"/>
  <c r="H20" i="28"/>
  <c r="G19" i="21" l="1"/>
  <c r="D20" i="14" s="1"/>
  <c r="Y8" i="24"/>
  <c r="V19" i="21" s="1"/>
  <c r="D23" i="14"/>
  <c r="E7" i="24"/>
  <c r="B18" i="21" s="1"/>
  <c r="C19" i="14" s="1"/>
  <c r="B19" i="21"/>
  <c r="C20" i="14" s="1"/>
  <c r="D22" i="14"/>
  <c r="E22" i="14"/>
  <c r="E23" i="14"/>
  <c r="H7" i="25"/>
  <c r="E21" i="21" s="1"/>
  <c r="E22" i="21"/>
  <c r="B22" i="21"/>
  <c r="E7" i="25"/>
  <c r="Y8" i="25"/>
  <c r="V22" i="21" s="1"/>
  <c r="D19" i="14"/>
  <c r="O20" i="28"/>
  <c r="P20" i="28"/>
  <c r="M20" i="28"/>
  <c r="N20" i="28"/>
  <c r="H135" i="23"/>
  <c r="H129" i="23" s="1"/>
  <c r="H128" i="23" s="1"/>
  <c r="H127" i="23" s="1"/>
  <c r="H126" i="23" s="1"/>
  <c r="H125" i="23" s="1"/>
  <c r="H116" i="23" s="1"/>
  <c r="H115" i="23"/>
  <c r="H114" i="23"/>
  <c r="C113" i="23"/>
  <c r="H106" i="23"/>
  <c r="H105" i="23" s="1"/>
  <c r="H104" i="23" s="1"/>
  <c r="H103" i="23"/>
  <c r="H102" i="23" s="1"/>
  <c r="H101" i="23" s="1"/>
  <c r="H100" i="23" s="1"/>
  <c r="H99" i="23"/>
  <c r="H98" i="23"/>
  <c r="H97" i="23"/>
  <c r="H86" i="23" s="1"/>
  <c r="H85" i="23"/>
  <c r="H84" i="23"/>
  <c r="H82" i="23" s="1"/>
  <c r="H81" i="23" s="1"/>
  <c r="H80" i="23" s="1"/>
  <c r="H76" i="23" s="1"/>
  <c r="H75" i="23" s="1"/>
  <c r="H74" i="23" s="1"/>
  <c r="H73" i="23" s="1"/>
  <c r="H72" i="23"/>
  <c r="H71" i="23" s="1"/>
  <c r="H70" i="23"/>
  <c r="H56" i="23"/>
  <c r="H55" i="23"/>
  <c r="C54" i="23"/>
  <c r="G53" i="23"/>
  <c r="H52" i="23"/>
  <c r="H51" i="23" s="1"/>
  <c r="H50" i="23"/>
  <c r="H49" i="23" s="1"/>
  <c r="H48" i="23" s="1"/>
  <c r="C47" i="23"/>
  <c r="H47" i="23" s="1"/>
  <c r="H46" i="23" s="1"/>
  <c r="C45" i="23"/>
  <c r="H45" i="23" s="1"/>
  <c r="H44" i="23" s="1"/>
  <c r="C43" i="23"/>
  <c r="H43" i="23" s="1"/>
  <c r="H42" i="23" s="1"/>
  <c r="H41" i="23"/>
  <c r="H26" i="23"/>
  <c r="H25" i="23" s="1"/>
  <c r="H24" i="23" s="1"/>
  <c r="H23" i="23" s="1"/>
  <c r="H22" i="23" s="1"/>
  <c r="H21" i="23" s="1"/>
  <c r="C20" i="23"/>
  <c r="H20" i="23" s="1"/>
  <c r="H19" i="23"/>
  <c r="H18" i="23"/>
  <c r="C33" i="22"/>
  <c r="E30" i="22"/>
  <c r="H30" i="22" s="1"/>
  <c r="B48" i="22"/>
  <c r="B13" i="22" s="1"/>
  <c r="B23" i="14" l="1"/>
  <c r="B22" i="28" s="1"/>
  <c r="F13" i="29"/>
  <c r="B20" i="14"/>
  <c r="B19" i="28" s="1"/>
  <c r="H19" i="28" s="1"/>
  <c r="H18" i="28" s="1"/>
  <c r="F11" i="29"/>
  <c r="G19" i="28"/>
  <c r="G18" i="28" s="1"/>
  <c r="F19" i="28"/>
  <c r="F18" i="28" s="1"/>
  <c r="Y7" i="24"/>
  <c r="V18" i="21" s="1"/>
  <c r="B19" i="14" s="1"/>
  <c r="B18" i="28" s="1"/>
  <c r="E18" i="28" s="1"/>
  <c r="H33" i="23"/>
  <c r="H34" i="23" s="1"/>
  <c r="J8" i="23" s="1"/>
  <c r="G13" i="21" s="1"/>
  <c r="Y7" i="25"/>
  <c r="V21" i="21" s="1"/>
  <c r="B22" i="14" s="1"/>
  <c r="B21" i="28" s="1"/>
  <c r="B21" i="21"/>
  <c r="C22" i="14" s="1"/>
  <c r="C23" i="14"/>
  <c r="F22" i="28"/>
  <c r="G22" i="28"/>
  <c r="G21" i="28" s="1"/>
  <c r="H22" i="28"/>
  <c r="H21" i="28" s="1"/>
  <c r="H57" i="23"/>
  <c r="H62" i="23" s="1"/>
  <c r="J9" i="23" s="1"/>
  <c r="G14" i="21" s="1"/>
  <c r="H111" i="23"/>
  <c r="H110" i="23" s="1"/>
  <c r="H109" i="23" s="1"/>
  <c r="H108" i="23" s="1"/>
  <c r="H107" i="23" s="1"/>
  <c r="H118" i="23" s="1"/>
  <c r="O11" i="23" s="1"/>
  <c r="L16" i="21" s="1"/>
  <c r="H83" i="23"/>
  <c r="H87" i="23" s="1"/>
  <c r="I87" i="23" s="1"/>
  <c r="E10" i="23" s="1"/>
  <c r="B15" i="21" s="1"/>
  <c r="B122" i="23"/>
  <c r="B94" i="23" s="1"/>
  <c r="B67" i="23" s="1"/>
  <c r="B38" i="23" s="1"/>
  <c r="B15" i="23" s="1"/>
  <c r="H54" i="23"/>
  <c r="H53" i="23"/>
  <c r="H113" i="23"/>
  <c r="P19" i="28" l="1"/>
  <c r="P18" i="28" s="1"/>
  <c r="L18" i="28" s="1"/>
  <c r="M19" i="28"/>
  <c r="M18" i="28" s="1"/>
  <c r="I18" i="28" s="1"/>
  <c r="N19" i="28"/>
  <c r="N18" i="28" s="1"/>
  <c r="J18" i="28" s="1"/>
  <c r="O19" i="28"/>
  <c r="O18" i="28" s="1"/>
  <c r="K18" i="28" s="1"/>
  <c r="C18" i="28"/>
  <c r="D18" i="28"/>
  <c r="D21" i="28"/>
  <c r="E21" i="28"/>
  <c r="F21" i="28"/>
  <c r="C21" i="28" s="1"/>
  <c r="M22" i="28"/>
  <c r="M21" i="28" s="1"/>
  <c r="O22" i="28"/>
  <c r="O21" i="28" s="1"/>
  <c r="P22" i="28"/>
  <c r="P21" i="28" s="1"/>
  <c r="N22" i="28"/>
  <c r="N21" i="28" s="1"/>
  <c r="H89" i="23"/>
  <c r="F10" i="23" s="1"/>
  <c r="C15" i="21" s="1"/>
  <c r="F8" i="23"/>
  <c r="C13" i="21" s="1"/>
  <c r="I33" i="23"/>
  <c r="E8" i="23" s="1"/>
  <c r="B13" i="21" s="1"/>
  <c r="C39" i="22"/>
  <c r="H39" i="22" s="1"/>
  <c r="H37" i="22"/>
  <c r="K8" i="23"/>
  <c r="H13" i="21" s="1"/>
  <c r="H117" i="23"/>
  <c r="F11" i="23" s="1"/>
  <c r="C16" i="21" s="1"/>
  <c r="H60" i="23"/>
  <c r="F9" i="23" s="1"/>
  <c r="C14" i="21" s="1"/>
  <c r="K9" i="23"/>
  <c r="H14" i="21" s="1"/>
  <c r="P11" i="23"/>
  <c r="M16" i="21" s="1"/>
  <c r="I21" i="28" l="1"/>
  <c r="J21" i="28"/>
  <c r="L21" i="28"/>
  <c r="K21" i="28"/>
  <c r="L8" i="23"/>
  <c r="I13" i="21" s="1"/>
  <c r="G8" i="23"/>
  <c r="D13" i="21" s="1"/>
  <c r="I117" i="23"/>
  <c r="E11" i="23" s="1"/>
  <c r="B16" i="21" s="1"/>
  <c r="I60" i="23"/>
  <c r="E9" i="23" s="1"/>
  <c r="B14" i="21" s="1"/>
  <c r="G9" i="23"/>
  <c r="D14" i="21" s="1"/>
  <c r="Q11" i="23"/>
  <c r="N16" i="21" s="1"/>
  <c r="L9" i="23"/>
  <c r="I14" i="21" s="1"/>
  <c r="G11" i="23"/>
  <c r="D16" i="21" s="1"/>
  <c r="H8" i="23" l="1"/>
  <c r="E13" i="21" s="1"/>
  <c r="M8" i="23"/>
  <c r="J13" i="21" s="1"/>
  <c r="R11" i="23"/>
  <c r="O16" i="21" s="1"/>
  <c r="H11" i="23"/>
  <c r="H9" i="23"/>
  <c r="E14" i="21" s="1"/>
  <c r="M9" i="23"/>
  <c r="J14" i="21" s="1"/>
  <c r="E16" i="21" l="1"/>
  <c r="C17" i="14" s="1"/>
  <c r="N8" i="23"/>
  <c r="K13" i="21" s="1"/>
  <c r="C14" i="14"/>
  <c r="I8" i="23"/>
  <c r="F13" i="21" s="1"/>
  <c r="C15" i="14"/>
  <c r="I9" i="23"/>
  <c r="F14" i="21" s="1"/>
  <c r="N9" i="23"/>
  <c r="K14" i="21" s="1"/>
  <c r="I11" i="23"/>
  <c r="F16" i="21" s="1"/>
  <c r="S11" i="23"/>
  <c r="P16" i="21" s="1"/>
  <c r="T11" i="23" l="1"/>
  <c r="Q16" i="21" s="1"/>
  <c r="O9" i="23"/>
  <c r="L14" i="21" s="1"/>
  <c r="J11" i="23"/>
  <c r="G16" i="21" s="1"/>
  <c r="O8" i="23"/>
  <c r="L13" i="21" s="1"/>
  <c r="P8" i="23" l="1"/>
  <c r="M13" i="21" s="1"/>
  <c r="U11" i="23"/>
  <c r="R16" i="21" s="1"/>
  <c r="P9" i="23"/>
  <c r="K11" i="23"/>
  <c r="H16" i="21" s="1"/>
  <c r="Q8" i="23"/>
  <c r="N13" i="21" s="1"/>
  <c r="M14" i="21" l="1"/>
  <c r="D15" i="14" s="1"/>
  <c r="D14" i="14"/>
  <c r="T8" i="23"/>
  <c r="Q13" i="21" s="1"/>
  <c r="Q9" i="23"/>
  <c r="N14" i="21" s="1"/>
  <c r="L11" i="23"/>
  <c r="I16" i="21" s="1"/>
  <c r="V11" i="23"/>
  <c r="S16" i="21" s="1"/>
  <c r="R8" i="23"/>
  <c r="O13" i="21" s="1"/>
  <c r="S8" i="23" l="1"/>
  <c r="P13" i="21" s="1"/>
  <c r="M11" i="23"/>
  <c r="J16" i="21" s="1"/>
  <c r="W11" i="23"/>
  <c r="T16" i="21" s="1"/>
  <c r="R9" i="23"/>
  <c r="O14" i="21" s="1"/>
  <c r="U8" i="23"/>
  <c r="R13" i="21" s="1"/>
  <c r="X8" i="23" l="1"/>
  <c r="U13" i="21" s="1"/>
  <c r="X11" i="23"/>
  <c r="U16" i="21" s="1"/>
  <c r="N11" i="23"/>
  <c r="S9" i="23"/>
  <c r="P14" i="21" s="1"/>
  <c r="V8" i="23"/>
  <c r="S13" i="21" s="1"/>
  <c r="K16" i="21" l="1"/>
  <c r="D17" i="14" s="1"/>
  <c r="E17" i="14"/>
  <c r="Y11" i="23"/>
  <c r="T9" i="23"/>
  <c r="Q14" i="21" s="1"/>
  <c r="W8" i="23"/>
  <c r="V16" i="21" l="1"/>
  <c r="Y8" i="23"/>
  <c r="V13" i="21" s="1"/>
  <c r="T13" i="21"/>
  <c r="E14" i="14" s="1"/>
  <c r="U9" i="23"/>
  <c r="R14" i="21" s="1"/>
  <c r="B14" i="14" l="1"/>
  <c r="B13" i="28" s="1"/>
  <c r="F6" i="29"/>
  <c r="B17" i="14"/>
  <c r="B16" i="28" s="1"/>
  <c r="F9" i="29"/>
  <c r="G16" i="28"/>
  <c r="H16" i="28"/>
  <c r="F16" i="28"/>
  <c r="N16" i="28" s="1"/>
  <c r="H13" i="28"/>
  <c r="G13" i="28"/>
  <c r="F13" i="28"/>
  <c r="V9" i="23"/>
  <c r="S14" i="21" s="1"/>
  <c r="H91" i="20"/>
  <c r="H88" i="20"/>
  <c r="H86" i="20"/>
  <c r="H68" i="20"/>
  <c r="H70" i="20"/>
  <c r="H64" i="20"/>
  <c r="M16" i="28" l="1"/>
  <c r="P16" i="28"/>
  <c r="O16" i="28"/>
  <c r="M13" i="28"/>
  <c r="N13" i="28"/>
  <c r="O13" i="28"/>
  <c r="P13" i="28"/>
  <c r="W9" i="23"/>
  <c r="T14" i="21" s="1"/>
  <c r="K10" i="20"/>
  <c r="O10" i="20" s="1"/>
  <c r="T10" i="20" s="1"/>
  <c r="X9" i="23" l="1"/>
  <c r="U14" i="21" s="1"/>
  <c r="E15" i="14" l="1"/>
  <c r="Y9" i="23"/>
  <c r="H55" i="9"/>
  <c r="V14" i="21" l="1"/>
  <c r="U41" i="21"/>
  <c r="T41" i="21"/>
  <c r="S41" i="21"/>
  <c r="R41" i="21"/>
  <c r="Q41" i="21"/>
  <c r="P41" i="21"/>
  <c r="O41" i="21"/>
  <c r="N41" i="21"/>
  <c r="M41" i="21"/>
  <c r="L41" i="21"/>
  <c r="K41" i="21"/>
  <c r="J41" i="21"/>
  <c r="I41" i="21"/>
  <c r="H41" i="21"/>
  <c r="G41" i="21"/>
  <c r="F41" i="21"/>
  <c r="E41" i="21"/>
  <c r="U40" i="21"/>
  <c r="T40" i="21"/>
  <c r="S40" i="21"/>
  <c r="R40" i="21"/>
  <c r="Q40" i="21"/>
  <c r="P40" i="21"/>
  <c r="O40" i="21"/>
  <c r="N40" i="21"/>
  <c r="M40" i="21"/>
  <c r="L40" i="21"/>
  <c r="K40" i="21"/>
  <c r="J40" i="21"/>
  <c r="I40" i="21"/>
  <c r="H40" i="21"/>
  <c r="G40" i="21"/>
  <c r="F40" i="21"/>
  <c r="E40" i="21"/>
  <c r="U39" i="21"/>
  <c r="T39" i="21"/>
  <c r="S39" i="21"/>
  <c r="R39" i="21"/>
  <c r="P39" i="21"/>
  <c r="O39" i="21"/>
  <c r="N39" i="21"/>
  <c r="M39" i="21"/>
  <c r="K39" i="21"/>
  <c r="J39" i="21"/>
  <c r="I39" i="21"/>
  <c r="H39" i="21"/>
  <c r="F39" i="21"/>
  <c r="E39" i="21"/>
  <c r="D39" i="21"/>
  <c r="C39" i="21"/>
  <c r="T38" i="21"/>
  <c r="S38" i="21"/>
  <c r="R38" i="21"/>
  <c r="Q38" i="21"/>
  <c r="O38" i="21"/>
  <c r="N38" i="21"/>
  <c r="M38" i="21"/>
  <c r="L38" i="21"/>
  <c r="J38" i="21"/>
  <c r="I38" i="21"/>
  <c r="H38" i="21"/>
  <c r="F38" i="21"/>
  <c r="E38" i="21"/>
  <c r="D38" i="21"/>
  <c r="T37" i="21"/>
  <c r="S37" i="21"/>
  <c r="R37" i="21"/>
  <c r="P37" i="21"/>
  <c r="O37" i="21"/>
  <c r="N37" i="21"/>
  <c r="M37" i="21"/>
  <c r="K37" i="21"/>
  <c r="J37" i="21"/>
  <c r="I37" i="21"/>
  <c r="H37" i="21"/>
  <c r="F37" i="21"/>
  <c r="E37" i="21"/>
  <c r="D37" i="21"/>
  <c r="C37" i="21"/>
  <c r="U36" i="21"/>
  <c r="T36" i="21"/>
  <c r="S36" i="21"/>
  <c r="Q36" i="21"/>
  <c r="P36" i="21"/>
  <c r="O36" i="21"/>
  <c r="N36" i="21"/>
  <c r="L36" i="21"/>
  <c r="K36" i="21"/>
  <c r="J36" i="21"/>
  <c r="I36" i="21"/>
  <c r="G36" i="21"/>
  <c r="F36" i="21"/>
  <c r="E36" i="21"/>
  <c r="D36" i="21"/>
  <c r="U28" i="21"/>
  <c r="S28" i="21"/>
  <c r="R28" i="21"/>
  <c r="Q28" i="21"/>
  <c r="O28" i="21"/>
  <c r="N28" i="21"/>
  <c r="M28" i="21"/>
  <c r="K28" i="21"/>
  <c r="J28" i="21"/>
  <c r="I28" i="21"/>
  <c r="G28" i="21"/>
  <c r="F28" i="21"/>
  <c r="E28" i="21"/>
  <c r="B111" i="20"/>
  <c r="B97" i="20"/>
  <c r="B80" i="20"/>
  <c r="B57" i="20"/>
  <c r="B41" i="20"/>
  <c r="B17" i="20"/>
  <c r="H14" i="20"/>
  <c r="I14" i="20"/>
  <c r="L14" i="20"/>
  <c r="M14" i="20"/>
  <c r="Q14" i="20"/>
  <c r="R14" i="20"/>
  <c r="V14" i="20"/>
  <c r="W14" i="20"/>
  <c r="H104" i="20"/>
  <c r="H119" i="20" s="1"/>
  <c r="H117" i="20" s="1"/>
  <c r="C83" i="20"/>
  <c r="C82" i="20"/>
  <c r="C22" i="20"/>
  <c r="W7" i="20"/>
  <c r="T35" i="21" s="1"/>
  <c r="V7" i="20"/>
  <c r="S35" i="21" s="1"/>
  <c r="R7" i="20"/>
  <c r="O35" i="21" s="1"/>
  <c r="Q7" i="20"/>
  <c r="N35" i="21" s="1"/>
  <c r="M7" i="20"/>
  <c r="J35" i="21" s="1"/>
  <c r="L7" i="20"/>
  <c r="I35" i="21" s="1"/>
  <c r="I7" i="20"/>
  <c r="F35" i="21" s="1"/>
  <c r="H7" i="20"/>
  <c r="E35" i="21" s="1"/>
  <c r="B15" i="14" l="1"/>
  <c r="B14" i="28" s="1"/>
  <c r="G14" i="28" s="1"/>
  <c r="F7" i="29"/>
  <c r="F14" i="28"/>
  <c r="P14" i="28" s="1"/>
  <c r="H14" i="28"/>
  <c r="C40" i="22"/>
  <c r="H40" i="22" s="1"/>
  <c r="H38" i="22"/>
  <c r="D41" i="14"/>
  <c r="E41" i="14"/>
  <c r="D42" i="14"/>
  <c r="E42" i="14"/>
  <c r="H120" i="20"/>
  <c r="M14" i="28" l="1"/>
  <c r="N14" i="28"/>
  <c r="O14" i="28"/>
  <c r="H127" i="8"/>
  <c r="C126" i="8"/>
  <c r="C125" i="8"/>
  <c r="H130" i="8"/>
  <c r="B120" i="8"/>
  <c r="C54" i="9"/>
  <c r="C79" i="8"/>
  <c r="C23" i="8"/>
  <c r="C22" i="8"/>
  <c r="C24" i="8" l="1"/>
  <c r="C21" i="8"/>
  <c r="H72" i="8" l="1"/>
  <c r="B64" i="8"/>
  <c r="C78" i="8"/>
  <c r="C77" i="8"/>
  <c r="C76" i="8"/>
  <c r="C75" i="8"/>
  <c r="C74" i="8"/>
  <c r="C73" i="8"/>
  <c r="C70" i="8"/>
  <c r="C71" i="8"/>
  <c r="C32" i="8" l="1"/>
  <c r="C31" i="8"/>
  <c r="C30" i="8"/>
  <c r="C25" i="8"/>
  <c r="C26" i="8"/>
  <c r="H67" i="5"/>
  <c r="H33" i="5"/>
  <c r="H65" i="5"/>
  <c r="H31" i="5"/>
  <c r="C64" i="5"/>
  <c r="C63" i="5"/>
  <c r="C60" i="5"/>
  <c r="C62" i="5"/>
  <c r="C53" i="5"/>
  <c r="C52" i="5"/>
  <c r="C28" i="5"/>
  <c r="C27" i="5"/>
  <c r="C21" i="5"/>
  <c r="C48" i="9" l="1"/>
  <c r="C47" i="9"/>
  <c r="H46" i="9"/>
  <c r="H51" i="9"/>
  <c r="H43" i="9"/>
  <c r="H21" i="9"/>
  <c r="H30" i="5" l="1"/>
  <c r="H79" i="8"/>
  <c r="H21" i="8"/>
  <c r="H20" i="9"/>
  <c r="H22" i="9"/>
  <c r="B36" i="9" l="1"/>
  <c r="H27" i="9"/>
  <c r="B13" i="9"/>
  <c r="H103" i="8"/>
  <c r="H111" i="8"/>
  <c r="C109" i="8"/>
  <c r="C108" i="8"/>
  <c r="B95" i="8"/>
  <c r="H81" i="8"/>
  <c r="H82" i="8"/>
  <c r="C50" i="8"/>
  <c r="H50" i="8" s="1"/>
  <c r="H67" i="8"/>
  <c r="C52" i="8"/>
  <c r="C51" i="8"/>
  <c r="H33" i="8"/>
  <c r="H55" i="8"/>
  <c r="H132" i="8" l="1"/>
  <c r="H72" i="20"/>
  <c r="H32" i="20"/>
  <c r="H90" i="20"/>
  <c r="H106" i="20"/>
  <c r="H35" i="5"/>
  <c r="H53" i="9"/>
  <c r="H29" i="9"/>
  <c r="H25" i="9"/>
  <c r="H69" i="5"/>
  <c r="H57" i="8"/>
  <c r="H38" i="8"/>
  <c r="H113" i="8"/>
  <c r="H75" i="8"/>
  <c r="H77" i="8"/>
  <c r="H51" i="8"/>
  <c r="H52" i="8"/>
  <c r="H84" i="8" l="1"/>
  <c r="H36" i="8"/>
  <c r="H27" i="8"/>
  <c r="H26" i="8"/>
  <c r="B43" i="8"/>
  <c r="B16" i="8"/>
  <c r="H31" i="8" l="1"/>
  <c r="H32" i="8"/>
  <c r="H61" i="5" l="1"/>
  <c r="H48" i="5"/>
  <c r="H30" i="8" l="1"/>
  <c r="H29" i="8"/>
  <c r="H109" i="8" l="1"/>
  <c r="H108" i="8"/>
  <c r="H50" i="5"/>
  <c r="H51" i="5"/>
  <c r="H20" i="22" l="1"/>
  <c r="H47" i="9" l="1"/>
  <c r="H23" i="9"/>
  <c r="H73" i="8"/>
  <c r="H22" i="8"/>
  <c r="H63" i="5"/>
  <c r="H27" i="5"/>
  <c r="H104" i="8" l="1"/>
  <c r="B42" i="5"/>
  <c r="B13" i="5"/>
  <c r="P10" i="23" l="1"/>
  <c r="M15" i="21" s="1"/>
  <c r="H33" i="22"/>
  <c r="H18" i="5"/>
  <c r="H47" i="5"/>
  <c r="H131" i="23" l="1"/>
  <c r="H133" i="23" s="1"/>
  <c r="J12" i="23" s="1"/>
  <c r="G17" i="21" s="1"/>
  <c r="Q10" i="23"/>
  <c r="N15" i="21" s="1"/>
  <c r="H31" i="22"/>
  <c r="H57" i="22"/>
  <c r="H128" i="8"/>
  <c r="H36" i="22"/>
  <c r="H32" i="22"/>
  <c r="H23" i="22"/>
  <c r="G10" i="23" l="1"/>
  <c r="D15" i="21" s="1"/>
  <c r="I12" i="23"/>
  <c r="F17" i="21" s="1"/>
  <c r="H134" i="23"/>
  <c r="N12" i="23" s="1"/>
  <c r="K17" i="21" s="1"/>
  <c r="H12" i="23"/>
  <c r="E17" i="21" s="1"/>
  <c r="F12" i="23"/>
  <c r="C17" i="21" s="1"/>
  <c r="I133" i="23"/>
  <c r="E12" i="23" s="1"/>
  <c r="B17" i="21" s="1"/>
  <c r="G12" i="23"/>
  <c r="D17" i="21" s="1"/>
  <c r="R10" i="23"/>
  <c r="O15" i="21" s="1"/>
  <c r="H65" i="20"/>
  <c r="H49" i="20"/>
  <c r="H48" i="20" s="1"/>
  <c r="H87" i="20"/>
  <c r="H103" i="20"/>
  <c r="H69" i="20"/>
  <c r="H118" i="20"/>
  <c r="H78" i="8"/>
  <c r="H66" i="5"/>
  <c r="H32" i="5"/>
  <c r="H26" i="9"/>
  <c r="H76" i="8"/>
  <c r="H107" i="8"/>
  <c r="H28" i="5"/>
  <c r="H25" i="22"/>
  <c r="H56" i="5"/>
  <c r="H49" i="5"/>
  <c r="H60" i="5"/>
  <c r="H57" i="5"/>
  <c r="H21" i="22"/>
  <c r="H24" i="5"/>
  <c r="H24" i="22"/>
  <c r="G13" i="23" l="1"/>
  <c r="H10" i="23"/>
  <c r="O12" i="23"/>
  <c r="L17" i="21" s="1"/>
  <c r="V12" i="23"/>
  <c r="S17" i="21" s="1"/>
  <c r="G7" i="23"/>
  <c r="D12" i="21" s="1"/>
  <c r="E7" i="23"/>
  <c r="K12" i="23"/>
  <c r="H17" i="21" s="1"/>
  <c r="T12" i="23"/>
  <c r="Q17" i="21" s="1"/>
  <c r="Q12" i="23"/>
  <c r="N17" i="21" s="1"/>
  <c r="H26" i="22"/>
  <c r="C18" i="14"/>
  <c r="E13" i="23"/>
  <c r="H18" i="22"/>
  <c r="H16" i="5"/>
  <c r="H16" i="22"/>
  <c r="F13" i="23"/>
  <c r="U12" i="23"/>
  <c r="R17" i="21" s="1"/>
  <c r="L12" i="23"/>
  <c r="I17" i="21" s="1"/>
  <c r="W12" i="23"/>
  <c r="T17" i="21" s="1"/>
  <c r="P12" i="23"/>
  <c r="M17" i="21" s="1"/>
  <c r="X12" i="23"/>
  <c r="U17" i="21" s="1"/>
  <c r="R12" i="23"/>
  <c r="S12" i="23"/>
  <c r="P17" i="21" s="1"/>
  <c r="M12" i="23"/>
  <c r="J17" i="21" s="1"/>
  <c r="F7" i="23"/>
  <c r="C12" i="21" s="1"/>
  <c r="S10" i="23"/>
  <c r="P15" i="21" s="1"/>
  <c r="H60" i="20"/>
  <c r="H82" i="20"/>
  <c r="H71" i="20"/>
  <c r="H31" i="20"/>
  <c r="H30" i="20" s="1"/>
  <c r="H29" i="20" s="1"/>
  <c r="H28" i="20" s="1"/>
  <c r="H89" i="20"/>
  <c r="H121" i="20"/>
  <c r="H123" i="8"/>
  <c r="H85" i="20"/>
  <c r="H63" i="20"/>
  <c r="H131" i="8"/>
  <c r="H125" i="8"/>
  <c r="H22" i="5"/>
  <c r="H100" i="8"/>
  <c r="H18" i="9"/>
  <c r="H98" i="8"/>
  <c r="H16" i="9"/>
  <c r="H48" i="9"/>
  <c r="H24" i="9"/>
  <c r="H52" i="9"/>
  <c r="H28" i="9"/>
  <c r="H112" i="8"/>
  <c r="H83" i="8"/>
  <c r="H74" i="8"/>
  <c r="H56" i="8"/>
  <c r="H37" i="8"/>
  <c r="H48" i="8"/>
  <c r="H70" i="8"/>
  <c r="H68" i="8"/>
  <c r="H46" i="8"/>
  <c r="H19" i="8"/>
  <c r="H45" i="5"/>
  <c r="H58" i="5"/>
  <c r="H28" i="22"/>
  <c r="H62" i="5"/>
  <c r="H34" i="5"/>
  <c r="H68" i="5"/>
  <c r="H23" i="5"/>
  <c r="H55" i="5"/>
  <c r="H25" i="5"/>
  <c r="H23" i="8"/>
  <c r="H64" i="5"/>
  <c r="H19" i="5"/>
  <c r="H24" i="8"/>
  <c r="H52" i="5"/>
  <c r="H29" i="5"/>
  <c r="H54" i="5"/>
  <c r="R7" i="23" l="1"/>
  <c r="O12" i="21" s="1"/>
  <c r="O17" i="21"/>
  <c r="E18" i="14" s="1"/>
  <c r="B12" i="21"/>
  <c r="H13" i="23"/>
  <c r="E15" i="21"/>
  <c r="C16" i="14" s="1"/>
  <c r="I10" i="23"/>
  <c r="Q13" i="23"/>
  <c r="Q7" i="23"/>
  <c r="N12" i="21" s="1"/>
  <c r="H7" i="23"/>
  <c r="S13" i="23"/>
  <c r="R13" i="23"/>
  <c r="H19" i="22"/>
  <c r="H17" i="22"/>
  <c r="H55" i="22"/>
  <c r="H54" i="22" s="1"/>
  <c r="H27" i="22"/>
  <c r="P7" i="23"/>
  <c r="M12" i="21" s="1"/>
  <c r="P13" i="23"/>
  <c r="Y12" i="23"/>
  <c r="D18" i="14"/>
  <c r="S7" i="23"/>
  <c r="P12" i="21" s="1"/>
  <c r="T10" i="23"/>
  <c r="Q15" i="21" s="1"/>
  <c r="H126" i="8"/>
  <c r="H116" i="20"/>
  <c r="H115" i="20" s="1"/>
  <c r="H61" i="20"/>
  <c r="H83" i="20"/>
  <c r="H47" i="20"/>
  <c r="H46" i="20" s="1"/>
  <c r="H21" i="20"/>
  <c r="H25" i="20"/>
  <c r="H67" i="20"/>
  <c r="H66" i="20"/>
  <c r="H84" i="20"/>
  <c r="H62" i="20"/>
  <c r="H22" i="20"/>
  <c r="H124" i="8"/>
  <c r="H21" i="5"/>
  <c r="H34" i="8"/>
  <c r="H101" i="8"/>
  <c r="H19" i="9"/>
  <c r="H99" i="8"/>
  <c r="H17" i="9"/>
  <c r="H102" i="8"/>
  <c r="H44" i="9"/>
  <c r="H28" i="8"/>
  <c r="H80" i="8"/>
  <c r="H53" i="8"/>
  <c r="H106" i="8"/>
  <c r="H105" i="8"/>
  <c r="H49" i="8"/>
  <c r="H71" i="8"/>
  <c r="H47" i="8"/>
  <c r="H69" i="8"/>
  <c r="H20" i="5"/>
  <c r="H25" i="8"/>
  <c r="H53" i="5"/>
  <c r="H17" i="5"/>
  <c r="H20" i="8"/>
  <c r="H46" i="5"/>
  <c r="H26" i="5"/>
  <c r="H37" i="5" l="1"/>
  <c r="I37" i="5" s="1"/>
  <c r="V17" i="21"/>
  <c r="E12" i="21"/>
  <c r="C13" i="14" s="1"/>
  <c r="J10" i="23"/>
  <c r="G15" i="21" s="1"/>
  <c r="F15" i="21"/>
  <c r="I13" i="23"/>
  <c r="I7" i="23"/>
  <c r="F12" i="21" s="1"/>
  <c r="H53" i="22"/>
  <c r="H52" i="22" s="1"/>
  <c r="H51" i="22" s="1"/>
  <c r="H50" i="22" s="1"/>
  <c r="H56" i="22" s="1"/>
  <c r="H58" i="22" s="1"/>
  <c r="F9" i="22" s="1"/>
  <c r="H43" i="22"/>
  <c r="H44" i="22" s="1"/>
  <c r="H38" i="5"/>
  <c r="F8" i="5" s="1"/>
  <c r="C7" i="21" s="1"/>
  <c r="H42" i="22"/>
  <c r="I42" i="22" s="1"/>
  <c r="E8" i="22" s="1"/>
  <c r="H59" i="9"/>
  <c r="H61" i="9" s="1"/>
  <c r="J9" i="9" s="1"/>
  <c r="U10" i="23"/>
  <c r="R15" i="21" s="1"/>
  <c r="T13" i="23"/>
  <c r="T7" i="23"/>
  <c r="Q12" i="21" s="1"/>
  <c r="H24" i="20"/>
  <c r="H27" i="20" s="1"/>
  <c r="H26" i="20" s="1"/>
  <c r="H23" i="20" s="1"/>
  <c r="H37" i="20" s="1"/>
  <c r="H92" i="20"/>
  <c r="T11" i="20" s="1"/>
  <c r="Q39" i="21" s="1"/>
  <c r="E40" i="14" s="1"/>
  <c r="H75" i="20"/>
  <c r="H114" i="20"/>
  <c r="H113" i="20" s="1"/>
  <c r="H45" i="20"/>
  <c r="H44" i="20" s="1"/>
  <c r="H52" i="20" s="1"/>
  <c r="H122" i="20"/>
  <c r="H105" i="20" s="1"/>
  <c r="H102" i="20" s="1"/>
  <c r="H101" i="20" s="1"/>
  <c r="H100" i="20" s="1"/>
  <c r="H99" i="20" s="1"/>
  <c r="H108" i="20" s="1"/>
  <c r="H87" i="8"/>
  <c r="H134" i="8"/>
  <c r="F12" i="8" s="1"/>
  <c r="H32" i="9"/>
  <c r="G8" i="9" s="1"/>
  <c r="D30" i="21" s="1"/>
  <c r="H115" i="8"/>
  <c r="H60" i="8"/>
  <c r="F9" i="8" s="1"/>
  <c r="C25" i="21" s="1"/>
  <c r="H40" i="8"/>
  <c r="F8" i="8" s="1"/>
  <c r="H59" i="5"/>
  <c r="H71" i="5" s="1"/>
  <c r="H72" i="5" s="1"/>
  <c r="B18" i="14" l="1"/>
  <c r="B17" i="28" s="1"/>
  <c r="F10" i="29"/>
  <c r="J13" i="23"/>
  <c r="K10" i="23"/>
  <c r="H15" i="21" s="1"/>
  <c r="J7" i="23"/>
  <c r="G12" i="21" s="1"/>
  <c r="H17" i="28"/>
  <c r="G17" i="28"/>
  <c r="F17" i="28"/>
  <c r="P17" i="28" s="1"/>
  <c r="I58" i="22"/>
  <c r="E9" i="22" s="1"/>
  <c r="E7" i="22" s="1"/>
  <c r="F8" i="22"/>
  <c r="F10" i="22" s="1"/>
  <c r="G9" i="22"/>
  <c r="C11" i="21"/>
  <c r="B10" i="21"/>
  <c r="H45" i="22"/>
  <c r="P8" i="22" s="1"/>
  <c r="J8" i="22"/>
  <c r="I75" i="20"/>
  <c r="E10" i="20" s="1"/>
  <c r="F10" i="20" s="1"/>
  <c r="V10" i="23"/>
  <c r="S15" i="21" s="1"/>
  <c r="U13" i="23"/>
  <c r="U7" i="23"/>
  <c r="R12" i="21" s="1"/>
  <c r="O11" i="20"/>
  <c r="L39" i="21" s="1"/>
  <c r="J11" i="20"/>
  <c r="G39" i="21" s="1"/>
  <c r="I92" i="20"/>
  <c r="E11" i="20" s="1"/>
  <c r="B39" i="21" s="1"/>
  <c r="C40" i="14" s="1"/>
  <c r="H124" i="20"/>
  <c r="E13" i="20" s="1"/>
  <c r="I52" i="20"/>
  <c r="E9" i="20" s="1"/>
  <c r="T9" i="20"/>
  <c r="O9" i="20"/>
  <c r="J9" i="20"/>
  <c r="X9" i="20"/>
  <c r="F12" i="20"/>
  <c r="C40" i="21" s="1"/>
  <c r="E12" i="20"/>
  <c r="G12" i="20"/>
  <c r="F8" i="20"/>
  <c r="I37" i="20"/>
  <c r="E8" i="20" s="1"/>
  <c r="H135" i="8"/>
  <c r="G12" i="8"/>
  <c r="C28" i="21"/>
  <c r="C24" i="21"/>
  <c r="I134" i="8"/>
  <c r="E12" i="8" s="1"/>
  <c r="G9" i="8"/>
  <c r="D25" i="21" s="1"/>
  <c r="F8" i="9"/>
  <c r="C30" i="21" s="1"/>
  <c r="K8" i="9"/>
  <c r="H30" i="21" s="1"/>
  <c r="J8" i="9"/>
  <c r="G30" i="21" s="1"/>
  <c r="H8" i="9"/>
  <c r="E30" i="21" s="1"/>
  <c r="I8" i="9"/>
  <c r="F30" i="21" s="1"/>
  <c r="W91" i="8"/>
  <c r="T10" i="8" s="1"/>
  <c r="Q26" i="21" s="1"/>
  <c r="O91" i="8"/>
  <c r="L10" i="8" s="1"/>
  <c r="I26" i="21" s="1"/>
  <c r="N91" i="8"/>
  <c r="K10" i="8" s="1"/>
  <c r="H26" i="21" s="1"/>
  <c r="T91" i="8"/>
  <c r="Q10" i="8" s="1"/>
  <c r="N26" i="21" s="1"/>
  <c r="M91" i="8"/>
  <c r="J10" i="8" s="1"/>
  <c r="G26" i="21" s="1"/>
  <c r="S91" i="8"/>
  <c r="P10" i="8" s="1"/>
  <c r="M26" i="21" s="1"/>
  <c r="J91" i="8"/>
  <c r="G10" i="8" s="1"/>
  <c r="D26" i="21" s="1"/>
  <c r="L91" i="8"/>
  <c r="I10" i="8" s="1"/>
  <c r="F26" i="21" s="1"/>
  <c r="R91" i="8"/>
  <c r="O10" i="8" s="1"/>
  <c r="L26" i="21" s="1"/>
  <c r="X91" i="8"/>
  <c r="U10" i="8" s="1"/>
  <c r="R26" i="21" s="1"/>
  <c r="Y91" i="8"/>
  <c r="V10" i="8" s="1"/>
  <c r="S26" i="21" s="1"/>
  <c r="Q91" i="8"/>
  <c r="N10" i="8" s="1"/>
  <c r="K26" i="21" s="1"/>
  <c r="AA91" i="8"/>
  <c r="X10" i="8" s="1"/>
  <c r="U26" i="21" s="1"/>
  <c r="K91" i="8"/>
  <c r="H10" i="8" s="1"/>
  <c r="E26" i="21" s="1"/>
  <c r="P91" i="8"/>
  <c r="M10" i="8" s="1"/>
  <c r="J26" i="21" s="1"/>
  <c r="Z91" i="8"/>
  <c r="W10" i="8" s="1"/>
  <c r="T26" i="21" s="1"/>
  <c r="V91" i="8"/>
  <c r="S10" i="8" s="1"/>
  <c r="P26" i="21" s="1"/>
  <c r="U91" i="8"/>
  <c r="R10" i="8" s="1"/>
  <c r="O26" i="21" s="1"/>
  <c r="I91" i="8"/>
  <c r="F10" i="8" s="1"/>
  <c r="C26" i="21" s="1"/>
  <c r="I32" i="9"/>
  <c r="E8" i="9" s="1"/>
  <c r="K8" i="5"/>
  <c r="H7" i="21" s="1"/>
  <c r="G11" i="8"/>
  <c r="D27" i="21" s="1"/>
  <c r="F11" i="8"/>
  <c r="C27" i="21" s="1"/>
  <c r="F9" i="9"/>
  <c r="C31" i="21" s="1"/>
  <c r="I59" i="9"/>
  <c r="I115" i="8"/>
  <c r="H60" i="9"/>
  <c r="G8" i="5"/>
  <c r="D7" i="21" s="1"/>
  <c r="I87" i="8"/>
  <c r="I60" i="8"/>
  <c r="E9" i="8" s="1"/>
  <c r="I40" i="8"/>
  <c r="E8" i="8" s="1"/>
  <c r="G8" i="8"/>
  <c r="G9" i="5"/>
  <c r="D8" i="21" s="1"/>
  <c r="F9" i="5"/>
  <c r="C8" i="21" s="1"/>
  <c r="I71" i="5"/>
  <c r="O17" i="28" l="1"/>
  <c r="M17" i="28"/>
  <c r="N17" i="28"/>
  <c r="K7" i="23"/>
  <c r="H12" i="21" s="1"/>
  <c r="L10" i="23"/>
  <c r="I15" i="21" s="1"/>
  <c r="K13" i="23"/>
  <c r="B11" i="21"/>
  <c r="E10" i="22"/>
  <c r="C10" i="21"/>
  <c r="F7" i="22"/>
  <c r="C9" i="21" s="1"/>
  <c r="G8" i="22"/>
  <c r="D10" i="21" s="1"/>
  <c r="K8" i="22"/>
  <c r="G10" i="21"/>
  <c r="B9" i="21"/>
  <c r="H9" i="22"/>
  <c r="D11" i="21"/>
  <c r="Q8" i="22"/>
  <c r="M10" i="21"/>
  <c r="B38" i="21"/>
  <c r="D40" i="14"/>
  <c r="D27" i="14"/>
  <c r="J10" i="20"/>
  <c r="J14" i="20" s="1"/>
  <c r="C38" i="21"/>
  <c r="E27" i="14"/>
  <c r="E9" i="5"/>
  <c r="E9" i="9"/>
  <c r="E7" i="9" s="1"/>
  <c r="B29" i="21" s="1"/>
  <c r="E8" i="5"/>
  <c r="B7" i="21" s="1"/>
  <c r="E11" i="8"/>
  <c r="B27" i="21" s="1"/>
  <c r="W10" i="23"/>
  <c r="T15" i="21" s="1"/>
  <c r="V7" i="23"/>
  <c r="S12" i="21" s="1"/>
  <c r="V13" i="23"/>
  <c r="F13" i="20"/>
  <c r="F7" i="20" s="1"/>
  <c r="C35" i="21" s="1"/>
  <c r="G13" i="20"/>
  <c r="D41" i="21" s="1"/>
  <c r="Y11" i="20"/>
  <c r="V39" i="21" s="1"/>
  <c r="P8" i="20"/>
  <c r="K14" i="20"/>
  <c r="K7" i="20"/>
  <c r="H35" i="21" s="1"/>
  <c r="H36" i="21"/>
  <c r="U37" i="21"/>
  <c r="C36" i="21"/>
  <c r="D40" i="21"/>
  <c r="G37" i="21"/>
  <c r="B40" i="21"/>
  <c r="Y12" i="20"/>
  <c r="V40" i="21" s="1"/>
  <c r="L37" i="21"/>
  <c r="O14" i="20"/>
  <c r="O7" i="20"/>
  <c r="L35" i="21" s="1"/>
  <c r="Q37" i="21"/>
  <c r="T7" i="20"/>
  <c r="Q35" i="21" s="1"/>
  <c r="T14" i="20"/>
  <c r="B37" i="21"/>
  <c r="C38" i="14" s="1"/>
  <c r="Y9" i="20"/>
  <c r="V37" i="21" s="1"/>
  <c r="E14" i="20"/>
  <c r="B36" i="21"/>
  <c r="E7" i="20"/>
  <c r="B41" i="21"/>
  <c r="F13" i="8"/>
  <c r="B24" i="21"/>
  <c r="F7" i="8"/>
  <c r="C23" i="21" s="1"/>
  <c r="G7" i="8"/>
  <c r="D23" i="21" s="1"/>
  <c r="G13" i="8"/>
  <c r="D24" i="21"/>
  <c r="C31" i="14"/>
  <c r="B28" i="21"/>
  <c r="K12" i="8"/>
  <c r="D28" i="21"/>
  <c r="G9" i="9"/>
  <c r="G10" i="9" s="1"/>
  <c r="H11" i="8"/>
  <c r="E27" i="21" s="1"/>
  <c r="H9" i="8"/>
  <c r="E25" i="21" s="1"/>
  <c r="L8" i="9"/>
  <c r="I30" i="21" s="1"/>
  <c r="H9" i="5"/>
  <c r="E8" i="21" s="1"/>
  <c r="F10" i="9"/>
  <c r="F7" i="9"/>
  <c r="C29" i="21" s="1"/>
  <c r="F10" i="5"/>
  <c r="B25" i="21"/>
  <c r="E10" i="8"/>
  <c r="B26" i="21" s="1"/>
  <c r="C27" i="14" s="1"/>
  <c r="H8" i="8"/>
  <c r="F7" i="5"/>
  <c r="C6" i="21" s="1"/>
  <c r="G10" i="5"/>
  <c r="H8" i="5"/>
  <c r="E7" i="21" s="1"/>
  <c r="G7" i="5"/>
  <c r="D6" i="21" s="1"/>
  <c r="B38" i="14" l="1"/>
  <c r="B37" i="28" s="1"/>
  <c r="F24" i="29"/>
  <c r="B40" i="14"/>
  <c r="B39" i="28" s="1"/>
  <c r="F26" i="29"/>
  <c r="B41" i="14"/>
  <c r="B40" i="28" s="1"/>
  <c r="F27" i="29"/>
  <c r="N10" i="20"/>
  <c r="K38" i="21" s="1"/>
  <c r="M10" i="23"/>
  <c r="J15" i="21" s="1"/>
  <c r="L7" i="23"/>
  <c r="I12" i="21" s="1"/>
  <c r="L13" i="23"/>
  <c r="G10" i="22"/>
  <c r="G7" i="22"/>
  <c r="D9" i="21" s="1"/>
  <c r="H8" i="22"/>
  <c r="E10" i="21" s="1"/>
  <c r="C11" i="14" s="1"/>
  <c r="C39" i="14"/>
  <c r="E10" i="9"/>
  <c r="G38" i="21"/>
  <c r="J7" i="20"/>
  <c r="G35" i="21" s="1"/>
  <c r="C37" i="14"/>
  <c r="R8" i="22"/>
  <c r="N10" i="21"/>
  <c r="H10" i="21"/>
  <c r="L8" i="22"/>
  <c r="I9" i="22"/>
  <c r="E11" i="21"/>
  <c r="C12" i="14" s="1"/>
  <c r="C8" i="14"/>
  <c r="E10" i="5"/>
  <c r="B31" i="21"/>
  <c r="C26" i="14"/>
  <c r="B8" i="21"/>
  <c r="C9" i="14" s="1"/>
  <c r="F40" i="28"/>
  <c r="H40" i="28"/>
  <c r="G40" i="28"/>
  <c r="E7" i="5"/>
  <c r="B6" i="21" s="1"/>
  <c r="C41" i="14"/>
  <c r="H37" i="28"/>
  <c r="G37" i="28"/>
  <c r="F37" i="28"/>
  <c r="E38" i="14"/>
  <c r="D38" i="14"/>
  <c r="F39" i="28"/>
  <c r="H39" i="28"/>
  <c r="G39" i="28"/>
  <c r="C29" i="14"/>
  <c r="C28" i="14"/>
  <c r="X10" i="23"/>
  <c r="U15" i="21" s="1"/>
  <c r="W7" i="23"/>
  <c r="T12" i="21" s="1"/>
  <c r="W13" i="23"/>
  <c r="N10" i="23"/>
  <c r="K15" i="21" s="1"/>
  <c r="G14" i="20"/>
  <c r="G7" i="20"/>
  <c r="D35" i="21" s="1"/>
  <c r="C41" i="21"/>
  <c r="C42" i="14" s="1"/>
  <c r="F14" i="20"/>
  <c r="Y13" i="20"/>
  <c r="V41" i="21" s="1"/>
  <c r="B35" i="21"/>
  <c r="M36" i="21"/>
  <c r="D37" i="14" s="1"/>
  <c r="P14" i="20"/>
  <c r="P7" i="20"/>
  <c r="M35" i="21" s="1"/>
  <c r="U8" i="20"/>
  <c r="C42" i="21"/>
  <c r="E7" i="8"/>
  <c r="B23" i="21" s="1"/>
  <c r="H7" i="8"/>
  <c r="E23" i="21" s="1"/>
  <c r="E24" i="21"/>
  <c r="C25" i="14" s="1"/>
  <c r="H13" i="8"/>
  <c r="H28" i="21"/>
  <c r="O12" i="8"/>
  <c r="E13" i="8"/>
  <c r="G7" i="9"/>
  <c r="D29" i="21" s="1"/>
  <c r="D31" i="21"/>
  <c r="M8" i="9"/>
  <c r="J30" i="21" s="1"/>
  <c r="I11" i="8"/>
  <c r="F27" i="21" s="1"/>
  <c r="I9" i="8"/>
  <c r="F25" i="21" s="1"/>
  <c r="H9" i="9"/>
  <c r="E31" i="21" s="1"/>
  <c r="Y10" i="8"/>
  <c r="V26" i="21" s="1"/>
  <c r="I9" i="5"/>
  <c r="F8" i="21" s="1"/>
  <c r="H10" i="5"/>
  <c r="I8" i="8"/>
  <c r="I8" i="5"/>
  <c r="F7" i="21" s="1"/>
  <c r="H7" i="5"/>
  <c r="E6" i="21" s="1"/>
  <c r="B42" i="14" l="1"/>
  <c r="B41" i="28" s="1"/>
  <c r="F28" i="29"/>
  <c r="B27" i="14"/>
  <c r="B26" i="28" s="1"/>
  <c r="F16" i="29"/>
  <c r="M7" i="23"/>
  <c r="J12" i="21" s="1"/>
  <c r="S10" i="20"/>
  <c r="X10" i="20" s="1"/>
  <c r="Y10" i="20" s="1"/>
  <c r="V38" i="21" s="1"/>
  <c r="N7" i="20"/>
  <c r="K35" i="21" s="1"/>
  <c r="D36" i="14" s="1"/>
  <c r="N14" i="20"/>
  <c r="M13" i="23"/>
  <c r="H7" i="22"/>
  <c r="E9" i="21" s="1"/>
  <c r="C10" i="14" s="1"/>
  <c r="I8" i="22"/>
  <c r="I10" i="22" s="1"/>
  <c r="H10" i="22"/>
  <c r="D39" i="14"/>
  <c r="J9" i="22"/>
  <c r="F11" i="21"/>
  <c r="I10" i="21"/>
  <c r="M8" i="22"/>
  <c r="S8" i="22"/>
  <c r="O10" i="21"/>
  <c r="C32" i="14"/>
  <c r="C7" i="14"/>
  <c r="F41" i="28"/>
  <c r="G41" i="28"/>
  <c r="H41" i="28"/>
  <c r="C36" i="14"/>
  <c r="N40" i="28"/>
  <c r="O40" i="28"/>
  <c r="P40" i="28"/>
  <c r="M40" i="28"/>
  <c r="N39" i="28"/>
  <c r="M39" i="28"/>
  <c r="O39" i="28"/>
  <c r="P39" i="28"/>
  <c r="P37" i="28"/>
  <c r="M37" i="28"/>
  <c r="N37" i="28"/>
  <c r="O37" i="28"/>
  <c r="F26" i="28"/>
  <c r="H26" i="28"/>
  <c r="G26" i="28"/>
  <c r="C24" i="14"/>
  <c r="E16" i="14"/>
  <c r="X7" i="23"/>
  <c r="X13" i="23"/>
  <c r="O10" i="23"/>
  <c r="N13" i="23"/>
  <c r="N7" i="23"/>
  <c r="K12" i="21" s="1"/>
  <c r="B42" i="21"/>
  <c r="R36" i="21"/>
  <c r="E37" i="14" s="1"/>
  <c r="U14" i="20"/>
  <c r="U7" i="20"/>
  <c r="R35" i="21" s="1"/>
  <c r="Y8" i="20"/>
  <c r="F24" i="21"/>
  <c r="I7" i="8"/>
  <c r="F23" i="21" s="1"/>
  <c r="I13" i="8"/>
  <c r="D42" i="21"/>
  <c r="L28" i="21"/>
  <c r="D29" i="14" s="1"/>
  <c r="S12" i="8"/>
  <c r="N8" i="9"/>
  <c r="K30" i="21" s="1"/>
  <c r="I9" i="9"/>
  <c r="F31" i="21" s="1"/>
  <c r="H7" i="9"/>
  <c r="E29" i="21" s="1"/>
  <c r="C30" i="14" s="1"/>
  <c r="H10" i="9"/>
  <c r="J9" i="8"/>
  <c r="G25" i="21" s="1"/>
  <c r="J11" i="8"/>
  <c r="G27" i="21" s="1"/>
  <c r="J9" i="5"/>
  <c r="G8" i="21" s="1"/>
  <c r="I10" i="5"/>
  <c r="J8" i="8"/>
  <c r="J8" i="5"/>
  <c r="G7" i="21" s="1"/>
  <c r="I7" i="5"/>
  <c r="F6" i="21" s="1"/>
  <c r="B39" i="14" l="1"/>
  <c r="B38" i="28" s="1"/>
  <c r="F25" i="29"/>
  <c r="S14" i="20"/>
  <c r="P38" i="21"/>
  <c r="S7" i="20"/>
  <c r="P35" i="21" s="1"/>
  <c r="F10" i="21"/>
  <c r="I7" i="22"/>
  <c r="F9" i="21" s="1"/>
  <c r="Y10" i="23"/>
  <c r="V15" i="21" s="1"/>
  <c r="L15" i="21"/>
  <c r="D16" i="14" s="1"/>
  <c r="U12" i="21"/>
  <c r="E13" i="14" s="1"/>
  <c r="P10" i="21"/>
  <c r="T8" i="22"/>
  <c r="J10" i="21"/>
  <c r="N8" i="22"/>
  <c r="K9" i="22"/>
  <c r="G11" i="21"/>
  <c r="J7" i="22"/>
  <c r="G9" i="21" s="1"/>
  <c r="J10" i="22"/>
  <c r="M41" i="28"/>
  <c r="N41" i="28"/>
  <c r="O41" i="28"/>
  <c r="P41" i="28"/>
  <c r="O26" i="28"/>
  <c r="P26" i="28"/>
  <c r="M26" i="28"/>
  <c r="N26" i="28"/>
  <c r="F38" i="28"/>
  <c r="O13" i="23"/>
  <c r="O7" i="23"/>
  <c r="L12" i="21" s="1"/>
  <c r="Y14" i="20"/>
  <c r="V36" i="21"/>
  <c r="U38" i="21"/>
  <c r="X14" i="20"/>
  <c r="X7" i="20"/>
  <c r="U35" i="21" s="1"/>
  <c r="P28" i="21"/>
  <c r="W12" i="8"/>
  <c r="T28" i="21" s="1"/>
  <c r="G24" i="21"/>
  <c r="J7" i="8"/>
  <c r="G23" i="21" s="1"/>
  <c r="J13" i="8"/>
  <c r="E42" i="21"/>
  <c r="C43" i="14" s="1"/>
  <c r="O8" i="9"/>
  <c r="L30" i="21" s="1"/>
  <c r="K11" i="8"/>
  <c r="H27" i="21" s="1"/>
  <c r="G31" i="21"/>
  <c r="I7" i="9"/>
  <c r="F29" i="21" s="1"/>
  <c r="I10" i="9"/>
  <c r="K9" i="8"/>
  <c r="H25" i="21" s="1"/>
  <c r="J10" i="5"/>
  <c r="K9" i="5"/>
  <c r="H8" i="21" s="1"/>
  <c r="K8" i="8"/>
  <c r="J7" i="5"/>
  <c r="G6" i="21" s="1"/>
  <c r="B16" i="14" l="1"/>
  <c r="B15" i="28" s="1"/>
  <c r="F8" i="29"/>
  <c r="B37" i="14"/>
  <c r="B36" i="28" s="1"/>
  <c r="F36" i="28" s="1"/>
  <c r="F23" i="29"/>
  <c r="Y13" i="23"/>
  <c r="E36" i="14"/>
  <c r="E39" i="14"/>
  <c r="Y7" i="23"/>
  <c r="V12" i="21" s="1"/>
  <c r="B13" i="14" s="1"/>
  <c r="B12" i="28" s="1"/>
  <c r="L9" i="22"/>
  <c r="H11" i="21"/>
  <c r="K7" i="22"/>
  <c r="H9" i="21" s="1"/>
  <c r="K10" i="22"/>
  <c r="U8" i="22"/>
  <c r="Q10" i="21"/>
  <c r="K10" i="21"/>
  <c r="O8" i="22"/>
  <c r="G36" i="28"/>
  <c r="E29" i="14"/>
  <c r="D13" i="14"/>
  <c r="F15" i="28"/>
  <c r="F12" i="28" s="1"/>
  <c r="G15" i="28"/>
  <c r="G12" i="28" s="1"/>
  <c r="P38" i="28"/>
  <c r="O38" i="28"/>
  <c r="M38" i="28"/>
  <c r="N38" i="28"/>
  <c r="G38" i="28"/>
  <c r="H38" i="28"/>
  <c r="H15" i="28"/>
  <c r="H12" i="28" s="1"/>
  <c r="Y7" i="20"/>
  <c r="V35" i="21" s="1"/>
  <c r="B36" i="14" s="1"/>
  <c r="B35" i="28" s="1"/>
  <c r="F42" i="21"/>
  <c r="H24" i="21"/>
  <c r="K7" i="8"/>
  <c r="H23" i="21" s="1"/>
  <c r="K13" i="8"/>
  <c r="Y12" i="8"/>
  <c r="V28" i="21" s="1"/>
  <c r="P8" i="9"/>
  <c r="M30" i="21" s="1"/>
  <c r="D31" i="14" s="1"/>
  <c r="L11" i="8"/>
  <c r="I27" i="21" s="1"/>
  <c r="L9" i="8"/>
  <c r="I25" i="21" s="1"/>
  <c r="K9" i="9"/>
  <c r="H31" i="21" s="1"/>
  <c r="J7" i="9"/>
  <c r="G29" i="21" s="1"/>
  <c r="J10" i="9"/>
  <c r="L9" i="5"/>
  <c r="I8" i="21" s="1"/>
  <c r="L8" i="8"/>
  <c r="K10" i="5"/>
  <c r="L8" i="5"/>
  <c r="I7" i="21" s="1"/>
  <c r="K7" i="5"/>
  <c r="H6" i="21" s="1"/>
  <c r="H36" i="28" l="1"/>
  <c r="B29" i="14"/>
  <c r="B28" i="28" s="1"/>
  <c r="F18" i="29"/>
  <c r="V8" i="22"/>
  <c r="R10" i="21"/>
  <c r="M9" i="22"/>
  <c r="I11" i="21"/>
  <c r="L10" i="22"/>
  <c r="L7" i="22"/>
  <c r="H35" i="28"/>
  <c r="L10" i="21"/>
  <c r="D11" i="14" s="1"/>
  <c r="M36" i="28"/>
  <c r="M35" i="28" s="1"/>
  <c r="P36" i="28"/>
  <c r="P35" i="28" s="1"/>
  <c r="N36" i="28"/>
  <c r="N35" i="28" s="1"/>
  <c r="O36" i="28"/>
  <c r="O35" i="28" s="1"/>
  <c r="F35" i="28"/>
  <c r="C35" i="28" s="1"/>
  <c r="G35" i="28"/>
  <c r="D12" i="28"/>
  <c r="E12" i="28"/>
  <c r="C12" i="28"/>
  <c r="M15" i="28"/>
  <c r="M12" i="28" s="1"/>
  <c r="I12" i="28" s="1"/>
  <c r="N15" i="28"/>
  <c r="N12" i="28" s="1"/>
  <c r="J12" i="28" s="1"/>
  <c r="O15" i="28"/>
  <c r="O12" i="28" s="1"/>
  <c r="K12" i="28" s="1"/>
  <c r="P15" i="28"/>
  <c r="P12" i="28" s="1"/>
  <c r="L12" i="28" s="1"/>
  <c r="I24" i="21"/>
  <c r="L13" i="8"/>
  <c r="L7" i="8"/>
  <c r="I23" i="21" s="1"/>
  <c r="G42" i="21"/>
  <c r="Q8" i="9"/>
  <c r="N30" i="21" s="1"/>
  <c r="M9" i="8"/>
  <c r="J25" i="21" s="1"/>
  <c r="L9" i="9"/>
  <c r="I31" i="21" s="1"/>
  <c r="K7" i="9"/>
  <c r="H29" i="21" s="1"/>
  <c r="K10" i="9"/>
  <c r="M11" i="8"/>
  <c r="J27" i="21" s="1"/>
  <c r="M9" i="5"/>
  <c r="J8" i="21" s="1"/>
  <c r="L10" i="5"/>
  <c r="M8" i="8"/>
  <c r="M8" i="5"/>
  <c r="J7" i="21" s="1"/>
  <c r="L7" i="5"/>
  <c r="I6" i="21" s="1"/>
  <c r="N9" i="22" l="1"/>
  <c r="J11" i="21"/>
  <c r="M7" i="22"/>
  <c r="J9" i="21" s="1"/>
  <c r="M10" i="22"/>
  <c r="W8" i="22"/>
  <c r="S10" i="21"/>
  <c r="I9" i="21"/>
  <c r="I35" i="28"/>
  <c r="K35" i="28"/>
  <c r="J35" i="28"/>
  <c r="L35" i="28"/>
  <c r="E35" i="28"/>
  <c r="D35" i="28"/>
  <c r="G28" i="28"/>
  <c r="H28" i="28"/>
  <c r="F28" i="28"/>
  <c r="H42" i="21"/>
  <c r="M13" i="8"/>
  <c r="J24" i="21"/>
  <c r="M7" i="8"/>
  <c r="J23" i="21" s="1"/>
  <c r="R8" i="9"/>
  <c r="O30" i="21" s="1"/>
  <c r="M9" i="9"/>
  <c r="J31" i="21" s="1"/>
  <c r="L10" i="9"/>
  <c r="L7" i="9"/>
  <c r="I29" i="21" s="1"/>
  <c r="N11" i="8"/>
  <c r="K27" i="21" s="1"/>
  <c r="N9" i="8"/>
  <c r="K25" i="21" s="1"/>
  <c r="N9" i="5"/>
  <c r="K8" i="21" s="1"/>
  <c r="N8" i="8"/>
  <c r="M10" i="5"/>
  <c r="N8" i="5"/>
  <c r="K7" i="21" s="1"/>
  <c r="M7" i="5"/>
  <c r="J6" i="21" s="1"/>
  <c r="T10" i="21" l="1"/>
  <c r="X8" i="22"/>
  <c r="O9" i="22"/>
  <c r="K11" i="21"/>
  <c r="N7" i="22"/>
  <c r="K9" i="21" s="1"/>
  <c r="N10" i="22"/>
  <c r="M28" i="28"/>
  <c r="N28" i="28"/>
  <c r="O28" i="28"/>
  <c r="P28" i="28"/>
  <c r="I42" i="21"/>
  <c r="N13" i="8"/>
  <c r="N7" i="8"/>
  <c r="K23" i="21" s="1"/>
  <c r="K24" i="21"/>
  <c r="S8" i="9"/>
  <c r="P30" i="21" s="1"/>
  <c r="O11" i="8"/>
  <c r="L27" i="21" s="1"/>
  <c r="O9" i="8"/>
  <c r="L25" i="21" s="1"/>
  <c r="N9" i="9"/>
  <c r="K31" i="21" s="1"/>
  <c r="M7" i="9"/>
  <c r="J29" i="21" s="1"/>
  <c r="M10" i="9"/>
  <c r="N10" i="5"/>
  <c r="O9" i="5"/>
  <c r="L8" i="21" s="1"/>
  <c r="O8" i="8"/>
  <c r="O8" i="5"/>
  <c r="L7" i="21" s="1"/>
  <c r="N7" i="5"/>
  <c r="K6" i="21" s="1"/>
  <c r="U10" i="21" l="1"/>
  <c r="E11" i="14" s="1"/>
  <c r="Y8" i="22"/>
  <c r="P9" i="22"/>
  <c r="L11" i="21"/>
  <c r="O10" i="22"/>
  <c r="O7" i="22"/>
  <c r="L9" i="21" s="1"/>
  <c r="O7" i="8"/>
  <c r="L23" i="21" s="1"/>
  <c r="O13" i="8"/>
  <c r="L24" i="21"/>
  <c r="T8" i="9"/>
  <c r="Q30" i="21" s="1"/>
  <c r="J42" i="21"/>
  <c r="O9" i="9"/>
  <c r="L31" i="21" s="1"/>
  <c r="N10" i="9"/>
  <c r="N7" i="9"/>
  <c r="K29" i="21" s="1"/>
  <c r="P11" i="8"/>
  <c r="M27" i="21" s="1"/>
  <c r="D28" i="14" s="1"/>
  <c r="P9" i="8"/>
  <c r="M25" i="21" s="1"/>
  <c r="D26" i="14" s="1"/>
  <c r="P9" i="5"/>
  <c r="M8" i="21" s="1"/>
  <c r="D9" i="14" s="1"/>
  <c r="O10" i="5"/>
  <c r="P8" i="8"/>
  <c r="P8" i="5"/>
  <c r="M7" i="21" s="1"/>
  <c r="D8" i="14" s="1"/>
  <c r="O7" i="5"/>
  <c r="L6" i="21" s="1"/>
  <c r="Q9" i="22" l="1"/>
  <c r="M11" i="21"/>
  <c r="D12" i="14" s="1"/>
  <c r="P7" i="22"/>
  <c r="M9" i="21" s="1"/>
  <c r="D10" i="14" s="1"/>
  <c r="P10" i="22"/>
  <c r="V10" i="21"/>
  <c r="K42" i="21"/>
  <c r="P7" i="8"/>
  <c r="M23" i="21" s="1"/>
  <c r="D24" i="14" s="1"/>
  <c r="M24" i="21"/>
  <c r="D25" i="14" s="1"/>
  <c r="P13" i="8"/>
  <c r="U8" i="9"/>
  <c r="R30" i="21" s="1"/>
  <c r="Q9" i="8"/>
  <c r="N25" i="21" s="1"/>
  <c r="P9" i="9"/>
  <c r="M31" i="21" s="1"/>
  <c r="D32" i="14" s="1"/>
  <c r="O10" i="9"/>
  <c r="O7" i="9"/>
  <c r="L29" i="21" s="1"/>
  <c r="L42" i="21" s="1"/>
  <c r="Q11" i="8"/>
  <c r="N27" i="21" s="1"/>
  <c r="Q9" i="5"/>
  <c r="N8" i="21" s="1"/>
  <c r="P10" i="5"/>
  <c r="Q8" i="8"/>
  <c r="Q8" i="5"/>
  <c r="N7" i="21" s="1"/>
  <c r="P7" i="5"/>
  <c r="M6" i="21" s="1"/>
  <c r="D7" i="14" s="1"/>
  <c r="B11" i="14" l="1"/>
  <c r="B10" i="28" s="1"/>
  <c r="F4" i="29"/>
  <c r="R9" i="22"/>
  <c r="N11" i="21"/>
  <c r="Q10" i="22"/>
  <c r="Q7" i="22"/>
  <c r="N9" i="21" s="1"/>
  <c r="F10" i="28"/>
  <c r="H10" i="28"/>
  <c r="G10" i="28"/>
  <c r="N24" i="21"/>
  <c r="Q7" i="8"/>
  <c r="N23" i="21" s="1"/>
  <c r="Q13" i="8"/>
  <c r="V8" i="9"/>
  <c r="S30" i="21" s="1"/>
  <c r="Q9" i="9"/>
  <c r="N31" i="21" s="1"/>
  <c r="P10" i="9"/>
  <c r="P7" i="9"/>
  <c r="M29" i="21" s="1"/>
  <c r="D30" i="14" s="1"/>
  <c r="R11" i="8"/>
  <c r="O27" i="21" s="1"/>
  <c r="R9" i="8"/>
  <c r="O25" i="21" s="1"/>
  <c r="Q10" i="5"/>
  <c r="R9" i="5"/>
  <c r="O8" i="21" s="1"/>
  <c r="R8" i="8"/>
  <c r="R8" i="5"/>
  <c r="O7" i="21" s="1"/>
  <c r="Q7" i="5"/>
  <c r="N6" i="21" s="1"/>
  <c r="M10" i="28" l="1"/>
  <c r="O10" i="28"/>
  <c r="N10" i="28"/>
  <c r="P10" i="28"/>
  <c r="S9" i="22"/>
  <c r="O11" i="21"/>
  <c r="R10" i="22"/>
  <c r="R7" i="22"/>
  <c r="O9" i="21" s="1"/>
  <c r="W8" i="9"/>
  <c r="T30" i="21" s="1"/>
  <c r="O24" i="21"/>
  <c r="R7" i="8"/>
  <c r="O23" i="21" s="1"/>
  <c r="R13" i="8"/>
  <c r="M42" i="21"/>
  <c r="D43" i="14" s="1"/>
  <c r="S9" i="8"/>
  <c r="P25" i="21" s="1"/>
  <c r="R9" i="9"/>
  <c r="O31" i="21" s="1"/>
  <c r="Q10" i="9"/>
  <c r="Q7" i="9"/>
  <c r="N29" i="21" s="1"/>
  <c r="S11" i="8"/>
  <c r="P27" i="21" s="1"/>
  <c r="S9" i="5"/>
  <c r="P8" i="21" s="1"/>
  <c r="R10" i="5"/>
  <c r="S8" i="8"/>
  <c r="S8" i="5"/>
  <c r="P7" i="21" s="1"/>
  <c r="R7" i="5"/>
  <c r="O6" i="21" s="1"/>
  <c r="T9" i="22" l="1"/>
  <c r="P11" i="21"/>
  <c r="S7" i="22"/>
  <c r="P9" i="21" s="1"/>
  <c r="S10" i="22"/>
  <c r="X8" i="9"/>
  <c r="U30" i="21" s="1"/>
  <c r="E31" i="14" s="1"/>
  <c r="P24" i="21"/>
  <c r="S7" i="8"/>
  <c r="P23" i="21" s="1"/>
  <c r="S13" i="8"/>
  <c r="N42" i="21"/>
  <c r="T11" i="8"/>
  <c r="Q27" i="21" s="1"/>
  <c r="S9" i="9"/>
  <c r="P31" i="21" s="1"/>
  <c r="R7" i="9"/>
  <c r="O29" i="21" s="1"/>
  <c r="O42" i="21" s="1"/>
  <c r="R10" i="9"/>
  <c r="T9" i="8"/>
  <c r="Q25" i="21" s="1"/>
  <c r="S10" i="5"/>
  <c r="T9" i="5"/>
  <c r="Q8" i="21" s="1"/>
  <c r="T8" i="8"/>
  <c r="T8" i="5"/>
  <c r="Q7" i="21" s="1"/>
  <c r="S7" i="5"/>
  <c r="P6" i="21" s="1"/>
  <c r="U9" i="22" l="1"/>
  <c r="Q11" i="21"/>
  <c r="T7" i="22"/>
  <c r="Q9" i="21" s="1"/>
  <c r="T10" i="22"/>
  <c r="Y8" i="9"/>
  <c r="V30" i="21" s="1"/>
  <c r="Q24" i="21"/>
  <c r="T7" i="8"/>
  <c r="Q23" i="21" s="1"/>
  <c r="T13" i="8"/>
  <c r="U11" i="8"/>
  <c r="R27" i="21" s="1"/>
  <c r="U9" i="8"/>
  <c r="R25" i="21" s="1"/>
  <c r="T9" i="9"/>
  <c r="Q31" i="21" s="1"/>
  <c r="S10" i="9"/>
  <c r="S7" i="9"/>
  <c r="P29" i="21" s="1"/>
  <c r="T10" i="5"/>
  <c r="U9" i="5"/>
  <c r="R8" i="21" s="1"/>
  <c r="U8" i="8"/>
  <c r="U8" i="5"/>
  <c r="R7" i="21" s="1"/>
  <c r="T7" i="5"/>
  <c r="Q6" i="21" s="1"/>
  <c r="B31" i="14" l="1"/>
  <c r="B30" i="28" s="1"/>
  <c r="F19" i="29"/>
  <c r="V9" i="22"/>
  <c r="R11" i="21"/>
  <c r="U7" i="22"/>
  <c r="R9" i="21" s="1"/>
  <c r="U10" i="22"/>
  <c r="U13" i="8"/>
  <c r="R24" i="21"/>
  <c r="U7" i="8"/>
  <c r="R23" i="21" s="1"/>
  <c r="P42" i="21"/>
  <c r="V11" i="8"/>
  <c r="S27" i="21" s="1"/>
  <c r="U9" i="9"/>
  <c r="R31" i="21" s="1"/>
  <c r="T7" i="9"/>
  <c r="Q29" i="21" s="1"/>
  <c r="Q42" i="21" s="1"/>
  <c r="T10" i="9"/>
  <c r="V9" i="8"/>
  <c r="S25" i="21" s="1"/>
  <c r="V9" i="5"/>
  <c r="S8" i="21" s="1"/>
  <c r="U10" i="5"/>
  <c r="V8" i="8"/>
  <c r="V8" i="5"/>
  <c r="S7" i="21" s="1"/>
  <c r="U7" i="5"/>
  <c r="R6" i="21" s="1"/>
  <c r="W9" i="22" l="1"/>
  <c r="S11" i="21"/>
  <c r="V7" i="22"/>
  <c r="S9" i="21" s="1"/>
  <c r="V10" i="22"/>
  <c r="F30" i="28"/>
  <c r="G30" i="28"/>
  <c r="H30" i="28"/>
  <c r="V13" i="8"/>
  <c r="S24" i="21"/>
  <c r="V7" i="8"/>
  <c r="S23" i="21" s="1"/>
  <c r="V9" i="9"/>
  <c r="S31" i="21" s="1"/>
  <c r="U7" i="9"/>
  <c r="R29" i="21" s="1"/>
  <c r="R42" i="21" s="1"/>
  <c r="U10" i="9"/>
  <c r="W9" i="8"/>
  <c r="T25" i="21" s="1"/>
  <c r="W11" i="8"/>
  <c r="T27" i="21" s="1"/>
  <c r="V10" i="5"/>
  <c r="W9" i="5"/>
  <c r="T8" i="21" s="1"/>
  <c r="W8" i="8"/>
  <c r="W8" i="5"/>
  <c r="V7" i="5"/>
  <c r="S6" i="21" s="1"/>
  <c r="T11" i="21" l="1"/>
  <c r="X9" i="22"/>
  <c r="W7" i="22"/>
  <c r="T9" i="21" s="1"/>
  <c r="W10" i="22"/>
  <c r="T7" i="21"/>
  <c r="X8" i="5"/>
  <c r="U7" i="21" s="1"/>
  <c r="O30" i="28"/>
  <c r="P30" i="28"/>
  <c r="M30" i="28"/>
  <c r="N30" i="28"/>
  <c r="W7" i="8"/>
  <c r="T23" i="21" s="1"/>
  <c r="W13" i="8"/>
  <c r="T24" i="21"/>
  <c r="U27" i="21"/>
  <c r="E28" i="14" s="1"/>
  <c r="X9" i="8"/>
  <c r="U25" i="21" s="1"/>
  <c r="E26" i="14" s="1"/>
  <c r="W9" i="9"/>
  <c r="T31" i="21" s="1"/>
  <c r="V7" i="9"/>
  <c r="S29" i="21" s="1"/>
  <c r="S42" i="21" s="1"/>
  <c r="V10" i="9"/>
  <c r="X9" i="5"/>
  <c r="U8" i="21" s="1"/>
  <c r="E9" i="14" s="1"/>
  <c r="X8" i="8"/>
  <c r="W7" i="5"/>
  <c r="T6" i="21" s="1"/>
  <c r="W10" i="5"/>
  <c r="Y8" i="5" l="1"/>
  <c r="U11" i="21"/>
  <c r="E12" i="14" s="1"/>
  <c r="Y9" i="22"/>
  <c r="X7" i="22"/>
  <c r="X10" i="22"/>
  <c r="E8" i="14"/>
  <c r="X7" i="8"/>
  <c r="U23" i="21" s="1"/>
  <c r="E24" i="14" s="1"/>
  <c r="U24" i="21"/>
  <c r="E25" i="14" s="1"/>
  <c r="X13" i="8"/>
  <c r="X9" i="9"/>
  <c r="U31" i="21" s="1"/>
  <c r="E32" i="14" s="1"/>
  <c r="W7" i="9"/>
  <c r="T29" i="21" s="1"/>
  <c r="T42" i="21" s="1"/>
  <c r="W10" i="9"/>
  <c r="Y9" i="8"/>
  <c r="V25" i="21" s="1"/>
  <c r="Y11" i="8"/>
  <c r="V27" i="21" s="1"/>
  <c r="X10" i="5"/>
  <c r="X7" i="5"/>
  <c r="U6" i="21" s="1"/>
  <c r="E7" i="14" s="1"/>
  <c r="Y9" i="5"/>
  <c r="V8" i="21" s="1"/>
  <c r="Y8" i="8"/>
  <c r="B28" i="14" l="1"/>
  <c r="B27" i="28" s="1"/>
  <c r="F17" i="29"/>
  <c r="B26" i="14"/>
  <c r="B25" i="28" s="1"/>
  <c r="F15" i="29"/>
  <c r="B9" i="14"/>
  <c r="B8" i="28" s="1"/>
  <c r="F3" i="29"/>
  <c r="V7" i="21"/>
  <c r="U9" i="21"/>
  <c r="E10" i="14" s="1"/>
  <c r="Y7" i="22"/>
  <c r="V9" i="21" s="1"/>
  <c r="B10" i="14" s="1"/>
  <c r="B9" i="28" s="1"/>
  <c r="V11" i="21"/>
  <c r="Y10" i="22"/>
  <c r="V24" i="21"/>
  <c r="Y13" i="8"/>
  <c r="Y7" i="8"/>
  <c r="V23" i="21" s="1"/>
  <c r="B24" i="14" s="1"/>
  <c r="B23" i="28" s="1"/>
  <c r="Y7" i="5"/>
  <c r="V6" i="21" s="1"/>
  <c r="B7" i="14" s="1"/>
  <c r="B6" i="28" s="1"/>
  <c r="Y9" i="9"/>
  <c r="V31" i="21" s="1"/>
  <c r="X7" i="9"/>
  <c r="U29" i="21" s="1"/>
  <c r="E30" i="14" s="1"/>
  <c r="X10" i="9"/>
  <c r="Y10" i="5"/>
  <c r="B25" i="14" l="1"/>
  <c r="B24" i="28" s="1"/>
  <c r="F14" i="29"/>
  <c r="B32" i="14"/>
  <c r="B31" i="28" s="1"/>
  <c r="G31" i="28" s="1"/>
  <c r="G29" i="28" s="1"/>
  <c r="F20" i="29"/>
  <c r="B12" i="14"/>
  <c r="B11" i="28" s="1"/>
  <c r="F11" i="28" s="1"/>
  <c r="F5" i="29"/>
  <c r="B8" i="14"/>
  <c r="B7" i="28" s="1"/>
  <c r="H7" i="28" s="1"/>
  <c r="F2" i="29"/>
  <c r="F29" i="29" s="1"/>
  <c r="F8" i="28"/>
  <c r="G8" i="28"/>
  <c r="H8" i="28"/>
  <c r="H6" i="28" s="1"/>
  <c r="G27" i="28"/>
  <c r="H27" i="28"/>
  <c r="F27" i="28"/>
  <c r="F25" i="28"/>
  <c r="G25" i="28"/>
  <c r="H25" i="28"/>
  <c r="U42" i="21"/>
  <c r="E43" i="14" s="1"/>
  <c r="Y7" i="9"/>
  <c r="V29" i="21" s="1"/>
  <c r="B30" i="14" s="1"/>
  <c r="B29" i="28" s="1"/>
  <c r="Y10" i="9"/>
  <c r="H11" i="28" l="1"/>
  <c r="H9" i="28" s="1"/>
  <c r="E9" i="28" s="1"/>
  <c r="F31" i="28"/>
  <c r="F29" i="28" s="1"/>
  <c r="G11" i="28"/>
  <c r="H31" i="28"/>
  <c r="H29" i="28" s="1"/>
  <c r="G7" i="28"/>
  <c r="F7" i="28"/>
  <c r="M7" i="28" s="1"/>
  <c r="G6" i="28"/>
  <c r="D6" i="28" s="1"/>
  <c r="N7" i="28"/>
  <c r="G9" i="28"/>
  <c r="D9" i="28" s="1"/>
  <c r="M11" i="28"/>
  <c r="M9" i="28" s="1"/>
  <c r="N11" i="28"/>
  <c r="N9" i="28" s="1"/>
  <c r="O11" i="28"/>
  <c r="O9" i="28" s="1"/>
  <c r="P11" i="28"/>
  <c r="P9" i="28" s="1"/>
  <c r="F9" i="28"/>
  <c r="C9" i="28" s="1"/>
  <c r="C29" i="28"/>
  <c r="D29" i="28"/>
  <c r="E6" i="28"/>
  <c r="O31" i="28"/>
  <c r="O29" i="28" s="1"/>
  <c r="K29" i="28" s="1"/>
  <c r="P31" i="28"/>
  <c r="P29" i="28" s="1"/>
  <c r="N31" i="28"/>
  <c r="N29" i="28" s="1"/>
  <c r="M31" i="28"/>
  <c r="M29" i="28" s="1"/>
  <c r="O27" i="28"/>
  <c r="M27" i="28"/>
  <c r="N27" i="28"/>
  <c r="P27" i="28"/>
  <c r="N25" i="28"/>
  <c r="P25" i="28"/>
  <c r="M25" i="28"/>
  <c r="O25" i="28"/>
  <c r="M8" i="28"/>
  <c r="N8" i="28"/>
  <c r="O8" i="28"/>
  <c r="P8" i="28"/>
  <c r="H24" i="28"/>
  <c r="H23" i="28" s="1"/>
  <c r="E23" i="28" s="1"/>
  <c r="G24" i="28"/>
  <c r="G23" i="28" s="1"/>
  <c r="F24" i="28"/>
  <c r="F23" i="28" s="1"/>
  <c r="C23" i="28" s="1"/>
  <c r="V42" i="21"/>
  <c r="B43" i="14" s="1"/>
  <c r="O7" i="28" l="1"/>
  <c r="M6" i="28"/>
  <c r="F6" i="28"/>
  <c r="C6" i="28" s="1"/>
  <c r="P7" i="28"/>
  <c r="O6" i="28"/>
  <c r="N6" i="28"/>
  <c r="J6" i="28" s="1"/>
  <c r="P6" i="28"/>
  <c r="L6" i="28" s="1"/>
  <c r="K6" i="28"/>
  <c r="I6" i="28"/>
  <c r="F14" i="14"/>
  <c r="F22" i="14"/>
  <c r="F30" i="14"/>
  <c r="F38" i="14"/>
  <c r="F29" i="14"/>
  <c r="F15" i="14"/>
  <c r="F23" i="14"/>
  <c r="F31" i="14"/>
  <c r="F39" i="14"/>
  <c r="F13" i="14"/>
  <c r="F16" i="14"/>
  <c r="F24" i="14"/>
  <c r="F32" i="14"/>
  <c r="F40" i="14"/>
  <c r="F21" i="14"/>
  <c r="F9" i="14"/>
  <c r="F17" i="14"/>
  <c r="F25" i="14"/>
  <c r="F33" i="14"/>
  <c r="F41" i="14"/>
  <c r="F36" i="14"/>
  <c r="F37" i="14"/>
  <c r="F10" i="14"/>
  <c r="F18" i="14"/>
  <c r="F26" i="14"/>
  <c r="F34" i="14"/>
  <c r="F42" i="14"/>
  <c r="F20" i="14"/>
  <c r="F11" i="14"/>
  <c r="F19" i="14"/>
  <c r="F27" i="14"/>
  <c r="F35" i="14"/>
  <c r="F28" i="14"/>
  <c r="F12" i="14"/>
  <c r="F8" i="14"/>
  <c r="F7" i="14"/>
  <c r="F43" i="14"/>
  <c r="G42" i="28"/>
  <c r="G43" i="28" s="1"/>
  <c r="J9" i="28"/>
  <c r="K9" i="28"/>
  <c r="I9" i="28"/>
  <c r="L9" i="28"/>
  <c r="I29" i="28"/>
  <c r="B42" i="28"/>
  <c r="C44" i="14"/>
  <c r="D44" i="14"/>
  <c r="E44" i="14"/>
  <c r="F44" i="14" s="1"/>
  <c r="F42" i="28"/>
  <c r="F43" i="28" s="1"/>
  <c r="H42" i="28"/>
  <c r="H43" i="28" s="1"/>
  <c r="D23" i="28"/>
  <c r="M24" i="28"/>
  <c r="M23" i="28" s="1"/>
  <c r="I23" i="28" s="1"/>
  <c r="N24" i="28"/>
  <c r="N23" i="28" s="1"/>
  <c r="J23" i="28" s="1"/>
  <c r="O24" i="28"/>
  <c r="O23" i="28" s="1"/>
  <c r="K23" i="28" s="1"/>
  <c r="P24" i="28"/>
  <c r="P23" i="28" s="1"/>
  <c r="L23" i="28" s="1"/>
  <c r="W11" i="21"/>
  <c r="W16" i="21"/>
  <c r="W17" i="21"/>
  <c r="W29" i="21"/>
  <c r="W41" i="21"/>
  <c r="W25" i="21"/>
  <c r="W27" i="21"/>
  <c r="W8" i="21"/>
  <c r="W7" i="21"/>
  <c r="W10" i="21"/>
  <c r="W9" i="21"/>
  <c r="W34" i="21"/>
  <c r="W37" i="21"/>
  <c r="W26" i="21"/>
  <c r="W24" i="21"/>
  <c r="W13" i="21"/>
  <c r="W18" i="21"/>
  <c r="W6" i="21"/>
  <c r="W23" i="21"/>
  <c r="W12" i="21"/>
  <c r="W22" i="21"/>
  <c r="W21" i="21"/>
  <c r="W33" i="21"/>
  <c r="W40" i="21"/>
  <c r="W35" i="21"/>
  <c r="W32" i="21"/>
  <c r="W15" i="21"/>
  <c r="W19" i="21"/>
  <c r="W36" i="21"/>
  <c r="W39" i="21"/>
  <c r="W14" i="21"/>
  <c r="W20" i="21"/>
  <c r="W30" i="21"/>
  <c r="W31" i="21"/>
  <c r="D42" i="28" l="1"/>
  <c r="E42" i="28"/>
  <c r="C42" i="28"/>
  <c r="N42" i="28"/>
  <c r="O42" i="28"/>
  <c r="P42" i="28"/>
  <c r="M42" i="28"/>
  <c r="M43" i="28" s="1"/>
  <c r="W42" i="21"/>
  <c r="L42" i="28" l="1"/>
  <c r="P43" i="28"/>
  <c r="K42" i="28"/>
  <c r="O43" i="28"/>
  <c r="J42" i="28"/>
  <c r="N43" i="28"/>
  <c r="I42" i="28"/>
</calcChain>
</file>

<file path=xl/sharedStrings.xml><?xml version="1.0" encoding="utf-8"?>
<sst xmlns="http://schemas.openxmlformats.org/spreadsheetml/2006/main" count="2361" uniqueCount="993">
  <si>
    <t>Instructivo</t>
  </si>
  <si>
    <t>Directrices Generales</t>
  </si>
  <si>
    <t>En esta hoja se define que es la Estimación de Costos y se profundiza sobre  conceptos importantes del proceso como lo son:  Insumos para elaborar la estimación de costos, su alcance  y se realizan consideraciones relevantes en relación con su elaboración, entre otros aspectos.</t>
  </si>
  <si>
    <t>Matriz de Portafolio Programas  y Proyectos</t>
  </si>
  <si>
    <t>Esta hoja se relaciona la versión de portafolio de programas y proyectos a la que esta estimación de costos.
La matriz conecta los ejes, estrategias, programas, proyectos, problemas, resultados esperados, y productos identificados con el costo estimado para su desarrollo.</t>
  </si>
  <si>
    <t>Glosario de Categoría de Costos cárnicos</t>
  </si>
  <si>
    <t xml:space="preserve">Esta hoja contiene las definiciones de los términos empleados en la pestaña de categorías de costos </t>
  </si>
  <si>
    <t>Categorías de Costos</t>
  </si>
  <si>
    <t>Esta hoja contiene los parámetros empleados de manera recurrente para realizar la estimación de costos.  Los parámetros son datos que se consideran como orientativos  para evaluar un rubro o concepto. 
En este sentido la hoja de categoría de costos, es en la cual se parametrizan diferentes costos asociados al sector, como son honorarios, desplazamientos, infraestructura, actividades grupales, rubros de promoción y comunicación entre otros.</t>
  </si>
  <si>
    <t>Estimación de Costos Anualizada</t>
  </si>
  <si>
    <t>Campo</t>
  </si>
  <si>
    <t>Descripción</t>
  </si>
  <si>
    <t>PROGRAMA - PROYECTO /AÑO (0 al 20)</t>
  </si>
  <si>
    <r>
      <t>Se relacionan en el orden del portafolio de programas y proyect</t>
    </r>
    <r>
      <rPr>
        <sz val="12"/>
        <color theme="1"/>
        <rFont val="Arial"/>
        <family val="2"/>
      </rPr>
      <t xml:space="preserve">os, los </t>
    </r>
    <r>
      <rPr>
        <b/>
        <sz val="11"/>
        <color theme="1"/>
        <rFont val="Arial"/>
        <family val="2"/>
      </rPr>
      <t>12 programas y 32 proyectos.</t>
    </r>
  </si>
  <si>
    <t>0/ 1/ 2/3 …. /20</t>
  </si>
  <si>
    <t>TOTALES</t>
  </si>
  <si>
    <t>PART EN TOTAL</t>
  </si>
  <si>
    <t>Contiene el aporte porcentual de cada programa, proyecto al costo estimado total. Se realiza haciendo una división simple entre el valor arrojado para cada programa, proyecto y el total. El valor arrojado es un porcentaje.</t>
  </si>
  <si>
    <t>Estimación a corto, mediano y largo plazo</t>
  </si>
  <si>
    <t>En esta hoja se agrupan los resultados obtenidos en la estimación de costos en períodos denominados corto, mediano y largo plazo. 
Los campos que conformar la hoja de estimación a corto, mediano y largo plazo y su descripción es la siguiente:</t>
  </si>
  <si>
    <t>PROGRAMA - PROYECTO /AÑO (0- 20)</t>
  </si>
  <si>
    <t>Total ( Millones de Pesos)</t>
  </si>
  <si>
    <t xml:space="preserve">Se vincula los valores arrojados en la hoja del estimación detallada por programa y proyecto. </t>
  </si>
  <si>
    <t>Corto Plazo
 (0 al 4 año)</t>
  </si>
  <si>
    <t>Mediano Plazo
 (5 al 12 año)</t>
  </si>
  <si>
    <t>Largo Plazo
 (13 al 20 año)</t>
  </si>
  <si>
    <t>%</t>
  </si>
  <si>
    <r>
      <t xml:space="preserve">Representa el </t>
    </r>
    <r>
      <rPr>
        <b/>
        <sz val="11"/>
        <color theme="1"/>
        <rFont val="Arial"/>
        <family val="2"/>
      </rPr>
      <t xml:space="preserve">porcentaje o participación </t>
    </r>
    <r>
      <rPr>
        <sz val="12"/>
        <color theme="1"/>
        <rFont val="Arial"/>
        <family val="2"/>
      </rPr>
      <t xml:space="preserve"> del programa y proyectos, frente al 100% del costo estimado del Plan de acción.</t>
    </r>
  </si>
  <si>
    <t>Programa</t>
  </si>
  <si>
    <t>Proyecto</t>
  </si>
  <si>
    <t>Programación</t>
  </si>
  <si>
    <t>Años en los cuales se ejecutaría cada proyecto</t>
  </si>
  <si>
    <t>0, 1, 2, …20</t>
  </si>
  <si>
    <t>Total</t>
  </si>
  <si>
    <t>Contiene el valor estimado del proyecto, durante su ejecución y se obtiene de la sumatoria horizontal para cada una de estas.</t>
  </si>
  <si>
    <t>P. ej. Costo Estimado Proyecto 1.</t>
  </si>
  <si>
    <t xml:space="preserve">Relaciona los conceptos que se tuvieron en cuenta para la estimación de costos, identificando  según sea el caso la cantidad, unidad (persona, viaje, semanas), valor unitario, dedicación en porcentaje y tiempo en meses para el recurso humano requerido, y total año, producto de la multiplicación de los ítems mencionados según corresponda. 
Para cada uno de los proyectos se resumen los supuestos empleados, los rubros empleados y para los casos que se considere el detalle del proceso estimado. </t>
  </si>
  <si>
    <t>DIRECTRICES GENERALES</t>
  </si>
  <si>
    <t>Esta hoja se define que es la Estimación de Costos y se profundiza sobre  conceptos importantes para el proceso. como lo son:  Insumos para la estimación, su alcance  y se realizan consideraciones relevantes en relación con su elaboración.</t>
  </si>
  <si>
    <t xml:space="preserve">Estimación de Costos para la implementación del Portafolio de Programas y Proyectos : </t>
  </si>
  <si>
    <t>Es la suma de los recursos financieros necesarios para desarrollar los proyectos que conforman el Plan de acción.  La estimación de costos es un componente del portafolio de programas y proyectos y el requerimientos de costos es un ejercicio que se realiza de manera preliminar e indicativa, como un valor base para los actores, que debe ser actualizado y ajustado por los actores de acuerdo al desarrollo de los proyectos.  (UPRA, 2021)</t>
  </si>
  <si>
    <t>Insumos para elaborar la Estimación de Costos :</t>
  </si>
  <si>
    <t>El proceso de estimación cuantitativa se realiza a partir de los insumos arrojados en la fase estratégica que son: metas construidas en prospectiva, línea base, lineamientos de política, portafolio de programas y proyectos, productos esperados para cada proyecto, el cronograma de Implementación, así como también la identificación del entorno político relacionado a cada proyecto.  A partir de estos insumos, se efectúa el proceso de costeo para cada proyecto.</t>
  </si>
  <si>
    <t>Alcance de la Estimación de Costos</t>
  </si>
  <si>
    <t>Consideraciones para tener en cuenta sobre la Estimación de Costos.</t>
  </si>
  <si>
    <t xml:space="preserve">El ciclo de vida de todo proyecto se estructura en torno a las fases de Planificación, implementación y seguimiento. 
En el portafolio se plantean actividades, pero no se llega al detalle de una ficha de inversión.
El proceso de cuantificación de costos se realiza partiendo de los resultados esperados o bien de la realización de supuestos relacionados con diferentes aspectos, tales como los períodos de implementación, regiones productoras, agricultores a intervenir, entre otros.  
Para esto,  se definen en primer lugar unas categorías de costos, que es un elemento en el cual se parametrizan diferentes costos asociados al sector, como son honorarios, desplazamientos, infraestructura, actividades grupales, rubros de promoción y comunicación, entre otros.  En la categoría de costos también se encuentra el detalle de algunas  estimaciones realizadas. 
Los valores obtenidos son indicativos, ya que, aunque se costea la totalidad de proyectos, en algunos casos, no se estimó la demanda de recursos de implementación y fortalecimiento, los cuales dependen de estudios, diseños, estrategias para su desarrollo, por lo que no se cuentan con elementos suficientes para presupuestar otras etapas de los proyectos.
Por otro lado, en la mayoría de los proyectos también se consideran otras formas para su desarrollo que puedan ser contempladas por los actores y no han sido estimadas en este ejercicio, por lo que son calificadas como rubros por definir.
La etapa de estimaciones de acciones para desarrollar los proyectos es posterior y debe ser desarrollada por los actores de interés de cada proyecto o temática.
</t>
  </si>
  <si>
    <t>Criterios para elaborar la Estimación de Costos:</t>
  </si>
  <si>
    <t xml:space="preserve">Globalidad: El es  "global" y a través de él se identifican  las necesidades de recursos más generales.
Recursos Escasos: Los recursos para financiar el plan de acción son escasos. Las estimaciones de recursos relacionadas con programas se basan en recursos destinados a programas similares.
Corresponsabilidad: Se busca promover el sentido de la responsabilidad compartida entre los actores para la puesta en marcha del plan de acción y su necesidad de recursos.
Gradualidad en el costo de los recursos: Debido a la limitación en los recursos públicos, se considera realizar la intervención de manera gradual. 
Fuentes de Información confiables: Uso de datos formales del sector
</t>
  </si>
  <si>
    <t>Elementos a tener en cuenta en la Estimación de Costos</t>
  </si>
  <si>
    <t>a. Formato</t>
  </si>
  <si>
    <t>b. Unidad de Medida Definida</t>
  </si>
  <si>
    <t>La unidad de medida  para presupuestar son los proyectos, por lo que se costeará cada una de éstos.</t>
  </si>
  <si>
    <t>c. Técnicas de costeo</t>
  </si>
  <si>
    <t>Para la elaboración de las estimaciones de costos realizadas se emplean algunas de estas técnicas. En el proceso se puede intuir o definir el uso de una o varias técnicas de costeo para la unidad de medida definida.
1. Juicio de expertos: Aporta una perspectiva valiosa  para la elaboración de la categoría de costos y los rubros empleados en el desarrollo de los proyectos y sus actividades;  permite contar con información de proyectos similares anteriores y puede utilizarse para determinar si es conveniente combinar métodos de estimación, así como también orienta en conciliar diferencias entre ellos.
2. Estimación análoga: Utiliza el costo real de proyectos similares anteriores como base para estimar el costo del proyecto actual. 
3. Estimación paramétrica: Consiste en utilizar información histórica para estimar los costos futuros.
4. Estimación ascendente: Estima el costo de cada paquete de trabajo o actividad, con el mayor grado de detalle posible, de manera que el costo se resume en niveles superiores.”</t>
  </si>
  <si>
    <t>Fuente: Elaboración Propia</t>
  </si>
  <si>
    <t>Valor</t>
  </si>
  <si>
    <t>Unidad</t>
  </si>
  <si>
    <t>Rodamiento</t>
  </si>
  <si>
    <t>Promedio</t>
  </si>
  <si>
    <t>Cantidad</t>
  </si>
  <si>
    <t>Pautas redes sociales</t>
  </si>
  <si>
    <t>Plan de medios radial regional</t>
  </si>
  <si>
    <t>Pautas en redes sociales</t>
  </si>
  <si>
    <r>
      <t xml:space="preserve">En esta hoja se vincula la estimación de costos realizada para cada Programa (P1 , P2….hasta </t>
    </r>
    <r>
      <rPr>
        <sz val="11"/>
        <color rgb="FFFF0000"/>
        <rFont val="Arial"/>
        <family val="2"/>
      </rPr>
      <t>P10</t>
    </r>
    <r>
      <rPr>
        <sz val="11"/>
        <color theme="1"/>
        <rFont val="Arial"/>
        <family val="2"/>
      </rPr>
      <t>), desde el  año 0 hasta el año 20. Posteriormente se realiza la sumatoria de resultado de la estimación para los programas y de esta manera se tiene el valor de la estimación total de costos de implementación del portafolio de programas y proyectos.
Los campos que conformar la hoja de  estimación de costos anualizada y su descripción son los siguientes:</t>
    </r>
  </si>
  <si>
    <r>
      <t>Contiene los valores presupuestados en</t>
    </r>
    <r>
      <rPr>
        <b/>
        <sz val="11"/>
        <color theme="1"/>
        <rFont val="Arial"/>
        <family val="2"/>
      </rPr>
      <t xml:space="preserve"> pesos</t>
    </r>
    <r>
      <rPr>
        <sz val="12"/>
        <color theme="1"/>
        <rFont val="Arial"/>
        <family val="2"/>
      </rPr>
      <t xml:space="preserve"> constantes de 2021 para </t>
    </r>
    <r>
      <rPr>
        <b/>
        <sz val="11"/>
        <color theme="1"/>
        <rFont val="Arial"/>
        <family val="2"/>
      </rPr>
      <t xml:space="preserve">cada año desde el año 0 hasta el al 20, </t>
    </r>
    <r>
      <rPr>
        <sz val="12"/>
        <color theme="1"/>
        <rFont val="Arial"/>
        <family val="2"/>
      </rPr>
      <t xml:space="preserve">para los </t>
    </r>
    <r>
      <rPr>
        <sz val="12"/>
        <color rgb="FFFF0000"/>
        <rFont val="Arial"/>
        <family val="2"/>
      </rPr>
      <t xml:space="preserve">10 </t>
    </r>
    <r>
      <rPr>
        <sz val="12"/>
        <color theme="1"/>
        <rFont val="Arial"/>
        <family val="2"/>
      </rPr>
      <t xml:space="preserve">programas y </t>
    </r>
    <r>
      <rPr>
        <sz val="12"/>
        <color rgb="FFFF0000"/>
        <rFont val="Arial"/>
        <family val="2"/>
      </rPr>
      <t>--</t>
    </r>
    <r>
      <rPr>
        <sz val="12"/>
        <color theme="1"/>
        <rFont val="Arial"/>
        <family val="2"/>
      </rPr>
      <t xml:space="preserve"> proyectos . Estos valores están vinculados desde cada hoja de proyecto "P1.1, P1.2…P</t>
    </r>
    <r>
      <rPr>
        <sz val="12"/>
        <color rgb="FFFF0000"/>
        <rFont val="Arial"/>
        <family val="2"/>
      </rPr>
      <t>10</t>
    </r>
    <r>
      <rPr>
        <sz val="12"/>
        <color theme="1"/>
        <rFont val="Arial"/>
        <family val="2"/>
      </rPr>
      <t xml:space="preserve">."
En color  </t>
    </r>
    <r>
      <rPr>
        <sz val="11"/>
        <color theme="8" tint="0.39997558519241921"/>
        <rFont val="Arial"/>
        <family val="2"/>
      </rPr>
      <t xml:space="preserve">           </t>
    </r>
    <r>
      <rPr>
        <sz val="11"/>
        <rFont val="Arial"/>
        <family val="2"/>
      </rPr>
      <t>se resalta el resultado del presupuesto obtenido para los Programas. 
En color             se resalta el resultado del presupuesto obtenido para los proyectos.
En color             se resalta el resultado del presupuesto final.</t>
    </r>
  </si>
  <si>
    <r>
      <t xml:space="preserve">Contiene los valores totales en </t>
    </r>
    <r>
      <rPr>
        <b/>
        <sz val="11"/>
        <color theme="1"/>
        <rFont val="Arial"/>
        <family val="2"/>
      </rPr>
      <t xml:space="preserve">pesos </t>
    </r>
    <r>
      <rPr>
        <sz val="12"/>
        <color theme="1"/>
        <rFont val="Arial"/>
        <family val="2"/>
      </rPr>
      <t>constantes de 2022 para cada programa, proyecto  y totales, a partir de la sumatoria horizontal.</t>
    </r>
  </si>
  <si>
    <r>
      <t xml:space="preserve">Se relacionan en el orden del portafolio de programas y proyectos, los </t>
    </r>
    <r>
      <rPr>
        <sz val="11"/>
        <color rgb="FFFF0000"/>
        <rFont val="Arial"/>
        <family val="2"/>
      </rPr>
      <t>10</t>
    </r>
    <r>
      <rPr>
        <b/>
        <sz val="11"/>
        <color theme="1"/>
        <rFont val="Arial"/>
        <family val="2"/>
      </rPr>
      <t xml:space="preserve"> programas y </t>
    </r>
    <r>
      <rPr>
        <b/>
        <sz val="11"/>
        <color rgb="FFFF0000"/>
        <rFont val="Arial"/>
        <family val="2"/>
      </rPr>
      <t>---</t>
    </r>
    <r>
      <rPr>
        <b/>
        <sz val="11"/>
        <color theme="1"/>
        <rFont val="Arial"/>
        <family val="2"/>
      </rPr>
      <t xml:space="preserve">  proyectos</t>
    </r>
  </si>
  <si>
    <r>
      <t xml:space="preserve">Contiene los valores estimados en pesos constantes de 2022 para el primer período de implementación, considerado el corto plazo, correspondiente a los 10 programas y </t>
    </r>
    <r>
      <rPr>
        <sz val="11"/>
        <color rgb="FFFF0000"/>
        <rFont val="Arial"/>
        <family val="2"/>
      </rPr>
      <t>--</t>
    </r>
    <r>
      <rPr>
        <sz val="11"/>
        <color theme="1"/>
        <rFont val="Arial"/>
        <family val="2"/>
      </rPr>
      <t xml:space="preserve"> proyectos.
Este valor se vincula de la sumatoria de los valores de la hoja "Estimación de Costos Anualizada "para cada programa y proyecto del año 0 al 4. 
</t>
    </r>
  </si>
  <si>
    <r>
      <t xml:space="preserve">Contiene los valores estimados en pesos constantes de 2022 para el segundo período de implementación, considerado el mediano plazo, correspondiente a los 10 programas y </t>
    </r>
    <r>
      <rPr>
        <sz val="11"/>
        <color rgb="FFFF0000"/>
        <rFont val="Arial"/>
        <family val="2"/>
      </rPr>
      <t>--</t>
    </r>
    <r>
      <rPr>
        <sz val="11"/>
        <color theme="1"/>
        <rFont val="Arial"/>
        <family val="2"/>
      </rPr>
      <t xml:space="preserve"> proyectos.
Este valor se vincula de la sumatoria de los valores de la hoja "Estimación de Costos Anualizada "para cada programa y proyecto del año 5 al 12. 
</t>
    </r>
  </si>
  <si>
    <r>
      <t xml:space="preserve">Contiene los valores estimados en pesos constantes de 2022 para el segundo período de implementación, considerado el mediano plazo, correspondiente a los 10 programas y </t>
    </r>
    <r>
      <rPr>
        <sz val="11"/>
        <color rgb="FFFF0000"/>
        <rFont val="Arial"/>
        <family val="2"/>
      </rPr>
      <t>--</t>
    </r>
    <r>
      <rPr>
        <sz val="11"/>
        <color theme="1"/>
        <rFont val="Arial"/>
        <family val="2"/>
      </rPr>
      <t xml:space="preserve"> proyectos.
Este valor se vincula de la sumatoria de los valores de la hoja "Estimación de Costos Anualizada "para cada programa y proyecto del año 13 al 20. 
</t>
    </r>
  </si>
  <si>
    <r>
      <t>P1, P2, P3…P</t>
    </r>
    <r>
      <rPr>
        <b/>
        <sz val="11"/>
        <color rgb="FFFF0000"/>
        <rFont val="Arial"/>
        <family val="2"/>
      </rPr>
      <t>10</t>
    </r>
  </si>
  <si>
    <r>
      <t xml:space="preserve">Se generó una hoja para cada uno de los </t>
    </r>
    <r>
      <rPr>
        <sz val="11"/>
        <color rgb="FFFF0000"/>
        <rFont val="Arial"/>
        <family val="2"/>
      </rPr>
      <t>10</t>
    </r>
    <r>
      <rPr>
        <sz val="11"/>
        <color theme="1"/>
        <rFont val="Arial"/>
        <family val="2"/>
      </rPr>
      <t xml:space="preserve"> programa que conforman el portafolio, representados por el código asignado a cada programa en el portafolio de programas y proyectos.</t>
    </r>
  </si>
  <si>
    <t>Nombre del programa al que corresponde el programa, se vincula de los nombres de los 10 programas dispuestos en la hoja "Estimación de Costos Anualizada"</t>
  </si>
  <si>
    <r>
      <t xml:space="preserve">Nombre del proyecto correspondientes, se vincula de los nombres de los </t>
    </r>
    <r>
      <rPr>
        <sz val="11"/>
        <color rgb="FFFF0000"/>
        <rFont val="Arial"/>
        <family val="2"/>
      </rPr>
      <t>--</t>
    </r>
    <r>
      <rPr>
        <sz val="11"/>
        <color theme="1"/>
        <rFont val="Arial"/>
        <family val="2"/>
      </rPr>
      <t xml:space="preserve"> proyectos dispuestos en la hoja "Estimación de Costos Anualizada"</t>
    </r>
  </si>
  <si>
    <t>Contiene los  valores en pesos constantes de 2022 de cada proyecto acorde con los conceptos presupuestados y su ejecución en el tiempo. Estos valores están vinculados desde los cuadros específicos para cada proyecto..</t>
  </si>
  <si>
    <t xml:space="preserve">La nomenclatura empleada para los programas corresponde del Programa 1 al Programa 10 y para los proyectos se emplea el número del programa seguido del número en el orden consecutivo del proyecto dentro de cada programa (1, 2, 3…10). En este sentido se creará una hoja para cada programa, y en cada una de ellas se costearán los proyectos que lo conforman. </t>
  </si>
  <si>
    <t>30 personas</t>
  </si>
  <si>
    <t xml:space="preserve">Fecha de inicio </t>
  </si>
  <si>
    <t>Por definir</t>
  </si>
  <si>
    <t>Concepto</t>
  </si>
  <si>
    <t>Dedicación</t>
  </si>
  <si>
    <t>Meses</t>
  </si>
  <si>
    <t>Total año</t>
  </si>
  <si>
    <t>Mesas de trabajo</t>
  </si>
  <si>
    <t>Global</t>
  </si>
  <si>
    <t>Mesas de trabajo virtuales</t>
  </si>
  <si>
    <t>Viáticos Internacional</t>
  </si>
  <si>
    <t>Cursos cortos</t>
  </si>
  <si>
    <t>Cursos cortos virtuales</t>
  </si>
  <si>
    <t>Cursos libres virtuales</t>
  </si>
  <si>
    <t>Equipo humano</t>
  </si>
  <si>
    <t>Desplazamientos, viáticos del equipo humano</t>
  </si>
  <si>
    <t>Stand de promoción y divulgación en eventos regionales</t>
  </si>
  <si>
    <t>Campaña publicitaria nacional</t>
  </si>
  <si>
    <t>Ruedas de negocios virtuales</t>
  </si>
  <si>
    <t>Otros mecanismos de posicionamiento</t>
  </si>
  <si>
    <t xml:space="preserve">Total </t>
  </si>
  <si>
    <t xml:space="preserve">Se estima 12 mesas de trabajo presencial y virtuales, 4 talleres y/o eventos de divulgación nacionales, 2 talleres y/o eventos por región, 2 talleres y/o eventos prácticos por región. Se estima compra de plataformas de base de datos, 4 stands de promoción y divulgación nacional y 7 regionales, un monto global para pautas en redes sociales, 1 campaña publicitaria nacional, 2 ferias comerciales nacionales, 7 ruedas de negocios presenciales y 7 virtuales.  Se estima incentivar al desarrollo de marcas para 10 empresas anualmente, 5 micro, 3 pequeñas y 2 medianas empresas para intervenir 10 empresas anualmente, , el valor estimado se halla de acuerdo a la Resolución 957 del 2019  de la DIAN, relacionado con la clasificación de las empresas por el valor de ingresos, en micro, pequeñas y medianas, se tomó el valor de los ingresos  y se estimó un porcentaje del 3%, 1% y 0.2%, partiendo de este valor, se considero un incentivo de 40%, 25% y 20% respectivamente. Se considera por presupuestar otros mecanismos de posicionamiento. Se estima un equipo humano  de 5 personas con un salario promedio mensual de $5.464.475 por 12 meses, se estima desplazamientos de 10 viajes con sus tiquetes, viáticos y desplazamientos. </t>
  </si>
  <si>
    <t xml:space="preserve">Tabla. Estimación de costos por proyecto (COP del 2022) </t>
  </si>
  <si>
    <t>1. Incremento del consumo de maíz nacional.</t>
  </si>
  <si>
    <t>1.1. Aumento de la participación del maíz nacional en el mercado de consumo animal.</t>
  </si>
  <si>
    <t>1.2. Posicionamiento de la oferta del maíz nacional y sus derivados, para  alimentación humana y otros usos.</t>
  </si>
  <si>
    <t>Talleres y/o eventos de divulgación nacionales y/o regionales</t>
  </si>
  <si>
    <t>Talleres y/o eventos de divulgación nacionales y/o regionales virtuales</t>
  </si>
  <si>
    <t>Gira técnica</t>
  </si>
  <si>
    <t>Ferias comerciales</t>
  </si>
  <si>
    <t>50 asistentes</t>
  </si>
  <si>
    <t>Por muestra</t>
  </si>
  <si>
    <t>%/dedicación</t>
  </si>
  <si>
    <t>Plataformas de información</t>
  </si>
  <si>
    <t>Otras formas de aumento</t>
  </si>
  <si>
    <t>30 asistentes</t>
  </si>
  <si>
    <t>5 empresas/personas</t>
  </si>
  <si>
    <t>persona/semana</t>
  </si>
  <si>
    <t>Promedio salario</t>
  </si>
  <si>
    <t>Campañas Institucionales</t>
  </si>
  <si>
    <t>EJE ESTRUCTURAL</t>
  </si>
  <si>
    <t>OBJETIVO ESTRATÉGICO</t>
  </si>
  <si>
    <t>PROGRAMA</t>
  </si>
  <si>
    <t>PROYECTO</t>
  </si>
  <si>
    <t xml:space="preserve">EE1. Competitividad, productividad y especialización regional </t>
  </si>
  <si>
    <t>OE1. Fortalecer el mercado y el consumo de maíz.</t>
  </si>
  <si>
    <t>2. Mejoramiento productivo del cultivo de maíz.</t>
  </si>
  <si>
    <t>OE3. Fortalecer la especialización regional.</t>
  </si>
  <si>
    <t xml:space="preserve">3. Generación y consolidación de encadenamientos regionales para la cadena de maíz. </t>
  </si>
  <si>
    <t>3.1. Promoción y fortalecimiento de organizaciones de economía solidaria en la cadena de maíz.</t>
  </si>
  <si>
    <t>OE3. Fortalecer la especialización regional</t>
  </si>
  <si>
    <t>3.2. Promoción de la integración y las alianzas estratégicas regionales en la cadena de maíz.</t>
  </si>
  <si>
    <t>3.3. Aumento de la capacidad instalada regional para el secamiento, almacenamiento, y  procesamiento agroindustrial de maíz.</t>
  </si>
  <si>
    <t>EE2. Gestión ambiental</t>
  </si>
  <si>
    <t xml:space="preserve">OE4. Mejorar el uso del agua y el suelo asociado al cultivo de maíz. </t>
  </si>
  <si>
    <t xml:space="preserve">4. Mejora de la gestión del agua y del suelo en el cultivo de maíz. </t>
  </si>
  <si>
    <t>4.1. Contribución a la gestión del ordenamiento ambiental, fuera de la frontera agrícola.</t>
  </si>
  <si>
    <t>4.2. Promoción del manejo eficiente del suelo y del agua, en la producción de maíz.</t>
  </si>
  <si>
    <t>OE5. Fortalecer el compromiso ambiental de la cadena.</t>
  </si>
  <si>
    <t xml:space="preserve">5. Fortalecimiento de la gestión ambiental en la cadena maicera.
</t>
  </si>
  <si>
    <t>5.1. Mejora del desempeño ambiental de la cadena de maíz.</t>
  </si>
  <si>
    <t>EE3. Desarrollo social</t>
  </si>
  <si>
    <t>OE6. Contribuir al mejoramiento del entorno social asociado a la cadena.</t>
  </si>
  <si>
    <t xml:space="preserve">6. Contribución al mejoramiento en las condiciones de vida de la población vinculada a la cadena de maíz. </t>
  </si>
  <si>
    <t>6.1  Promoción de la atención de las necesidades básicas de los actores vinculados a la cadena.</t>
  </si>
  <si>
    <t>6.2. Contribución al incremento del nivel educativo de los actores vinculados a la cadena.</t>
  </si>
  <si>
    <t>6.3. Mejora en las capacidades técnicas de los agentes económicos de la cadena</t>
  </si>
  <si>
    <t>OE7. Fomentar el ordenamiento productivo y social de la propiedad rural asociado a la cadena.</t>
  </si>
  <si>
    <t>7. Contribución al ordenamiento productivo y social de la propiedad.</t>
  </si>
  <si>
    <t>7.1. Articulación con las políticas de ordenamiento productivo y social de la propiedad rural para el cultivo de maíz.</t>
  </si>
  <si>
    <t xml:space="preserve">7.2  Fortalecimiento en el acceso y la seguridad jurídica de los predios e inversiones para el cultivo de maíz. </t>
  </si>
  <si>
    <t>EE4. Capacidades institucionales</t>
  </si>
  <si>
    <t xml:space="preserve">OE8. Fortalecer la Ciencia, Tecnología e Innovación de la cadena  </t>
  </si>
  <si>
    <t>8. Fortalecimiento del desarrollo tecnológico y la innovación en la cadena de maíz.</t>
  </si>
  <si>
    <t>8.1. Fortalecimiento de los procesos I+D+i para la cadena de maíz y sus derivados.</t>
  </si>
  <si>
    <t>8. Fortalecimiento del desarrollo tecnológico y la innovación de la cadena.</t>
  </si>
  <si>
    <t>8.2. Fortalecimiento del talento humano en I+D+i, y en extensionismo agrícola e industrial.</t>
  </si>
  <si>
    <t>OE9. Fortalecer la organización, financiación, seguimiento y control de la cadena.</t>
  </si>
  <si>
    <t>9. Fortalecimiento de la gestión institucional de la cadena de maíz</t>
  </si>
  <si>
    <t>9.1. Fortalecimiento del Sistema de Inspección, Vigilancia y Control para la cadena de maíz.</t>
  </si>
  <si>
    <t>9. Fortalecimiento de la gestión institucional de la cadena de maíz.</t>
  </si>
  <si>
    <t>9.2. Diseño y mejora de los instrumentos de financiamiento, comercialización, gestión de riesgos y empresarización para la cadena de maíz.</t>
  </si>
  <si>
    <t>Por persona</t>
  </si>
  <si>
    <t>Costo anual</t>
  </si>
  <si>
    <t>Persona/promedio/mes</t>
  </si>
  <si>
    <t xml:space="preserve">Talleres y/ o eventos de divulgación nacionales y/o regionales </t>
  </si>
  <si>
    <t>Talleres y/o eventos de divulgación nacional y/o regional virtuales</t>
  </si>
  <si>
    <t>Ferias Comerciales</t>
  </si>
  <si>
    <t>Plataformas/ base de datos</t>
  </si>
  <si>
    <t xml:space="preserve"> Rueda de negocio nacional y regional presencial</t>
  </si>
  <si>
    <t>50 personas</t>
  </si>
  <si>
    <t>5 empresas y/o personas</t>
  </si>
  <si>
    <t>Certificaciones diferenciadoras</t>
  </si>
  <si>
    <t>Campaña publicitaria regional</t>
  </si>
  <si>
    <t>Plan de Medios radial regional</t>
  </si>
  <si>
    <t xml:space="preserve">Cursos cortos </t>
  </si>
  <si>
    <t>Tiquetes y viáticos</t>
  </si>
  <si>
    <t>Equipo en región</t>
  </si>
  <si>
    <t>Mensual</t>
  </si>
  <si>
    <t>6.4. Promoción de la generación del empleo formal y la mejora de las condiciones laborales a lo largo de la cadena.</t>
  </si>
  <si>
    <t>Fecha de finalización</t>
  </si>
  <si>
    <t>Mes 12 Año 20</t>
  </si>
  <si>
    <t>Cursos libres</t>
  </si>
  <si>
    <t>Valor Global</t>
  </si>
  <si>
    <t>Por UPA</t>
  </si>
  <si>
    <t>40 personas</t>
  </si>
  <si>
    <t>Desarrolladores de plataformas de mercadeo</t>
  </si>
  <si>
    <t>Incentivo vivienda</t>
  </si>
  <si>
    <t>Incentivo servicios Públicos</t>
  </si>
  <si>
    <t>Valor promedio</t>
  </si>
  <si>
    <t>Valor global</t>
  </si>
  <si>
    <t>Otras formas de promoción</t>
  </si>
  <si>
    <t>Plan de medios regional</t>
  </si>
  <si>
    <t>Material promocional</t>
  </si>
  <si>
    <t>Cursos libres  virtuales</t>
  </si>
  <si>
    <t>Diplomado</t>
  </si>
  <si>
    <t>Diplomado virtual</t>
  </si>
  <si>
    <t>Otras formas de contribución</t>
  </si>
  <si>
    <t>Apoyos tecnológicos</t>
  </si>
  <si>
    <t>Persona/promedio</t>
  </si>
  <si>
    <t>Persona</t>
  </si>
  <si>
    <t>Convenios y Programas</t>
  </si>
  <si>
    <t>Incentivo a las Tics</t>
  </si>
  <si>
    <t>Incentivo conectividad</t>
  </si>
  <si>
    <t>Mes 7 del año 1</t>
  </si>
  <si>
    <t>Mes 12 del año 20</t>
  </si>
  <si>
    <t>Plan radial regional</t>
  </si>
  <si>
    <t>Otras formas de mejora</t>
  </si>
  <si>
    <t>Convenios y programas</t>
  </si>
  <si>
    <t>Incentivo a la formalización</t>
  </si>
  <si>
    <t>Incentivo al emprendimiento</t>
  </si>
  <si>
    <t>Mes 12 del año 19</t>
  </si>
  <si>
    <t>Material de divulgación</t>
  </si>
  <si>
    <t>Otras formas de articulación</t>
  </si>
  <si>
    <t>Desarrolladores de plataformas de información</t>
  </si>
  <si>
    <t>Otras formas de promoción y tenencia</t>
  </si>
  <si>
    <t>Campaña institucional</t>
  </si>
  <si>
    <t xml:space="preserve">Equipo humano </t>
  </si>
  <si>
    <t>Desarrolladores plataformas</t>
  </si>
  <si>
    <t xml:space="preserve">Incentivo comisión FAG contratos </t>
  </si>
  <si>
    <t>Viaje  internacional</t>
  </si>
  <si>
    <t>Mercados campesinos/circuitos cortos comercialización</t>
  </si>
  <si>
    <t>Subtotal (5 primeros años)</t>
  </si>
  <si>
    <t>Desarrolladores plataforma asistencia técnica</t>
  </si>
  <si>
    <t>Material divulgación y promocional</t>
  </si>
  <si>
    <t>Planes de reconversión productiva</t>
  </si>
  <si>
    <t>Viaje Internacional y viáticos</t>
  </si>
  <si>
    <t xml:space="preserve"> Rueda de negocio nacional y regional virtual</t>
  </si>
  <si>
    <t>Giras técnica</t>
  </si>
  <si>
    <t>20 asistentes</t>
  </si>
  <si>
    <t>Toneladas de cal dolomita</t>
  </si>
  <si>
    <t>Certificadores de producto  cal</t>
  </si>
  <si>
    <t>Plantas productoras</t>
  </si>
  <si>
    <t>ICR modernización de maquinaria</t>
  </si>
  <si>
    <t>Equipo humano nacional</t>
  </si>
  <si>
    <t>5 empresas</t>
  </si>
  <si>
    <t>Material promocional y divulgación</t>
  </si>
  <si>
    <t>Otras formas de implementación</t>
  </si>
  <si>
    <t>Equipo humano  especializados</t>
  </si>
  <si>
    <t>Mes 10 Año 1</t>
  </si>
  <si>
    <t>Valor 1 año</t>
  </si>
  <si>
    <t xml:space="preserve">Valor anual años 2 al 5  </t>
  </si>
  <si>
    <t>Mesas de trabajo virtual</t>
  </si>
  <si>
    <t>Meses/periodicidad</t>
  </si>
  <si>
    <t xml:space="preserve"> Mesas de trabajo presencial</t>
  </si>
  <si>
    <t>Desplazamiento equipo humano</t>
  </si>
  <si>
    <t>Visitas, giras técnicas</t>
  </si>
  <si>
    <t xml:space="preserve">Equipo humano  región </t>
  </si>
  <si>
    <t>Mes 12 año 20</t>
  </si>
  <si>
    <t>Talleres y/ o eventos de divulgación nacionales y/o regionales presenciales</t>
  </si>
  <si>
    <t>Talleres y/ o eventos de divulgación nacionales y/o regionales virtuales</t>
  </si>
  <si>
    <t>Mesas de trabajo presenciales</t>
  </si>
  <si>
    <t>Desplazamiento equipo humano nacional</t>
  </si>
  <si>
    <t>Equipo humano en región</t>
  </si>
  <si>
    <t>Cursos cortos presenciales</t>
  </si>
  <si>
    <t>Rueda de negocio nacional y regional presencial</t>
  </si>
  <si>
    <t xml:space="preserve">Diplomados </t>
  </si>
  <si>
    <t>Diplomados virtual</t>
  </si>
  <si>
    <t>Mesas de trabajo  presenciales</t>
  </si>
  <si>
    <t>Giras técnicas</t>
  </si>
  <si>
    <t>Equipo en Región</t>
  </si>
  <si>
    <t>Incentivo emprendimiento microempresas</t>
  </si>
  <si>
    <t>Incentivo emprendimiento pequeñas</t>
  </si>
  <si>
    <t>Incentivo emprendimiento medianas</t>
  </si>
  <si>
    <t>Empresa</t>
  </si>
  <si>
    <t>Promedio persona</t>
  </si>
  <si>
    <t>Valor anual año 1 al 5</t>
  </si>
  <si>
    <t>Valor anula año 6 a 20</t>
  </si>
  <si>
    <t>Año 1</t>
  </si>
  <si>
    <t>Año 2 al 11</t>
  </si>
  <si>
    <t>Año 12 al 20</t>
  </si>
  <si>
    <t>Promedio Persona</t>
  </si>
  <si>
    <t xml:space="preserve">Rueda de negocio nacional y regional presencial </t>
  </si>
  <si>
    <t>Empresa/asociación</t>
  </si>
  <si>
    <t>Valor anual año 1 al 10</t>
  </si>
  <si>
    <t>Valor anula año 11 a 20</t>
  </si>
  <si>
    <t>Mes 4 año 1</t>
  </si>
  <si>
    <t xml:space="preserve">Por definir </t>
  </si>
  <si>
    <t>Mes 1 año 1</t>
  </si>
  <si>
    <t>Talleres y/ o eventos de divulgación nacionales y/o regionales (Productor, transformador, comercialización)</t>
  </si>
  <si>
    <t xml:space="preserve">Global </t>
  </si>
  <si>
    <t>Campaña publicitaria institucional ( Nacional)</t>
  </si>
  <si>
    <t xml:space="preserve">Promedio persona </t>
  </si>
  <si>
    <t xml:space="preserve">Desplazamiento y viáticos Equipo Humano </t>
  </si>
  <si>
    <t xml:space="preserve">Equipo humano región </t>
  </si>
  <si>
    <t>Rueda de negocio  virtual</t>
  </si>
  <si>
    <t>Talleres y/o eventos de divulgación virtuales</t>
  </si>
  <si>
    <t>Incentivos valor agregado microempresas</t>
  </si>
  <si>
    <t>Incentivo valor agregado  pequeñas  empresas</t>
  </si>
  <si>
    <t>PROGRAMA - PROYECTO / AÑO 1 AL 20</t>
  </si>
  <si>
    <t>TOTAL</t>
  </si>
  <si>
    <t>Estimación de Costos  Plan de acción cadena maicera</t>
  </si>
  <si>
    <t>Apoyo UPA</t>
  </si>
  <si>
    <t>Incentivo Familias explotación integral</t>
  </si>
  <si>
    <t>Talleres y/o eventos de divulgación regionales</t>
  </si>
  <si>
    <t>Material de promoción</t>
  </si>
  <si>
    <t>Valor mensual</t>
  </si>
  <si>
    <t xml:space="preserve">Se consideran 7 departamentos (Chocó, Meta, Caquetá, Nariño, Cauca,  Boyacá y Córdoba) con áreas de producción de maíz ubicadas fuera de la frontera agrícola. Se estiman 28 mesas de trabajo presencial y virtual (4 por departamento), 7 talleres y/o eventos de divulgación regionales presenciales (1 por departamento), eventos de divulgación virtuales (3 por departamento). Se estima un equipo humano en región de 7 personas, con rodamiento (peajes y combustible) y apoyos tecnológicos (GPS y Tablet); y se considera "Por definir" otras formas de contribución. </t>
  </si>
  <si>
    <t>Talleres y/o eventos de divulgación nacionales</t>
  </si>
  <si>
    <t>Parcelas demostrativas o lotes modelo</t>
  </si>
  <si>
    <t>Escuelas, días de campo, giras técnicas,  y/o visitas</t>
  </si>
  <si>
    <t>Costo/30 personas</t>
  </si>
  <si>
    <t>Costo/persona</t>
  </si>
  <si>
    <t>Consultoría especializada para diseño de riego intrapredial</t>
  </si>
  <si>
    <t>Costo/Ha</t>
  </si>
  <si>
    <t>Otros tipos de captación, almacenamiento y aprovechamiento de agua</t>
  </si>
  <si>
    <t>Talleres y/o eventos virtuales</t>
  </si>
  <si>
    <t>Escuelas, días de campo, giras técnicas,  y/ o visitas</t>
  </si>
  <si>
    <t>Costo/20 personas</t>
  </si>
  <si>
    <t>Parcelas demostrativas</t>
  </si>
  <si>
    <t>Diplomados</t>
  </si>
  <si>
    <t>Diplomados virtuales</t>
  </si>
  <si>
    <t>Personas</t>
  </si>
  <si>
    <t xml:space="preserve">Incentivo Inversiones en tecnologías y prácticas sostenibles microempresas </t>
  </si>
  <si>
    <t>Incentivo Inversiones en tecnologías y prácticas sostenibles pequeñas</t>
  </si>
  <si>
    <t>Incentivo Inversiones en tecnologías y prácticas sostenibles medianas</t>
  </si>
  <si>
    <t>Viaje internacional</t>
  </si>
  <si>
    <t>Viáticos</t>
  </si>
  <si>
    <t>Empresas</t>
  </si>
  <si>
    <t>Implementación del modelo de I+D+i</t>
  </si>
  <si>
    <t>Otras formas de fortalecimiento</t>
  </si>
  <si>
    <t>Formación tecnológica y/o universitaria</t>
  </si>
  <si>
    <t>Maestría</t>
  </si>
  <si>
    <t>Doctorado</t>
  </si>
  <si>
    <t>Viajes internacionales</t>
  </si>
  <si>
    <t>Otros mecanismos de fortalecimiento</t>
  </si>
  <si>
    <t xml:space="preserve">Incentivos para unidades productoras </t>
  </si>
  <si>
    <t>Valor anual años 2 al 20</t>
  </si>
  <si>
    <t xml:space="preserve">Valor persona asistencia técnica </t>
  </si>
  <si>
    <t>Subtotal sin asistencia técnica</t>
  </si>
  <si>
    <t>Incentivos a la formalización a la propiedad</t>
  </si>
  <si>
    <t>Valor indicativo en pesos constantes de 2022 por programa y proyecto.</t>
  </si>
  <si>
    <t>Total 
(Millones de Pesos)</t>
  </si>
  <si>
    <t>Mediano Plazo 
(5 al 12 año)</t>
  </si>
  <si>
    <t>Corto Plazo
 (1 al 4 año)</t>
  </si>
  <si>
    <t>Parcelas demostrativas/lotes modelos</t>
  </si>
  <si>
    <t xml:space="preserve">OE2. Incrementar la productividad del cultivo de maíz. </t>
  </si>
  <si>
    <t>2.1. Implementación efectiva de la asistencia técnica en sistemas tecnificados de maíz.</t>
  </si>
  <si>
    <t>EE1. Competitividad, productividad y especialización regional</t>
  </si>
  <si>
    <t xml:space="preserve">2.2. Impulso a la producción de maíz a mediana y gran escala.  </t>
  </si>
  <si>
    <t xml:space="preserve">3.4. Fortalecimiento de la oferta de insumos y servicios asociados a la cadena. </t>
  </si>
  <si>
    <t>3.5. Mejora del entorno productivo para las grandes inversiones en las regiones maiceras.</t>
  </si>
  <si>
    <t>OE6. Contribuir al mejoramiento del entorno social asociado a la cadena</t>
  </si>
  <si>
    <t>6. Contribución al mejoramiento en las condiciones de vida de la población vinculada a la cadena de maíz.</t>
  </si>
  <si>
    <t>6.5. Contribución a la mejora de condiciones de conectividad vial y de servicios públicos, en las regiones maiceras.</t>
  </si>
  <si>
    <t>OE9. Fortalecer la organización, financiación, seguimiento y control de la cadena</t>
  </si>
  <si>
    <t>9.3. Fortalecimiento de mecanismos institucionales para el impulso a las inversiones en producción de maíz a mediana y gran escala.</t>
  </si>
  <si>
    <t>9.4. Diseño y operación del Sistema nacional de Información para la cadena de maíz.</t>
  </si>
  <si>
    <t>9.5. Constitución y fortalecimiento de la Organización de Cadena de maíz.</t>
  </si>
  <si>
    <t>9.6. Adopción, promoción y monitoreo de la política pública para la cadena de maíz.</t>
  </si>
  <si>
    <t>Desplazamiento Experto</t>
  </si>
  <si>
    <t>Tiquetes Viaje Internacional</t>
  </si>
  <si>
    <t xml:space="preserve">Plan de medios radial regional </t>
  </si>
  <si>
    <t xml:space="preserve">Equipamiento de laboratorios para el control de calidad de grano </t>
  </si>
  <si>
    <t>Desarrollo de la estrategia financiera</t>
  </si>
  <si>
    <t>Mesas de trabajo virtuales (nacionales, regionales e internacionales)</t>
  </si>
  <si>
    <t>Funcionamiento del sistema</t>
  </si>
  <si>
    <t>otras formas de fortalecimiento</t>
  </si>
  <si>
    <t xml:space="preserve">Se estima mesas de trabajo presenciales (7) y mesas  virtuales por subregión (19), un taller y evento de divulgación presencial por región.  Para el desarrollo de las actividades se proyectan  2 profesionales con un salario promedio de 5.661.197 para el apoyo de las actividades del proyecto a nivel nacional y el fortalecimiento de un equipo regional conformado por 1 personas por región con salario promedio de $5.032.173 y desplazamientos y viáticos para el equipo humano. Se deja por definir el acompañamiento y consolidación de las gestión de los comités regionales de la cadena de maíz. </t>
  </si>
  <si>
    <t>Desarrollador de plataforma</t>
  </si>
  <si>
    <t>Se estima mesas de trabajo presenciales por región y mesas de trabajo virtuales por subregión (19), talleres y eventos de divulgación nacional y regional. Para el desarrollo de las actividades se proyectan  2 profesionales con un salario promedio de 5.661.197 para el apoyo de las actividades del proyecto a nivel nacional y el fortalecimiento de un equipo regional conformado por 1 personas por región con salario promedio de $5.032.173 y desplazamientos y viáticos para el equipo humano (compartidos con el proyecto 9.4., se cuenta con un profesional desarrollador de la plataforma de seguimiento del POP. Por definir de dejan las actividades de empoderamiento gradual y seguimiento y evaluación POP</t>
  </si>
  <si>
    <t>Fortalecimiento</t>
  </si>
  <si>
    <t xml:space="preserve">Se estima realizar 1 taller nacional y dos talleres presenciales por región (14),  1 taller virtual por subregión (19) y una mesa de trabajo presencial por cada región (7) y una mesa de trabajo virtual por región (7).  Para el desarrollo de las actividades se proyectan  3 profesionales con un promedio salarial de $7.862.772 para el apoyo de las actividades del proyecto a nivel nacional y el fortalecimiento de un equipo regional con profesionales y técnicos a los cuales se les asigna dos subregiones, considerando el rodamientos, desplazamiento, viáticos y el apoyo técnico requerido.  El funcionamiento del sistema de información que incluye los sistemas de información y servicios tecnológicos, Hardware, software y conectividad necesarios para el despliegue del sistema y estrategias de operación, se deja por definir considerando el nivel de información con el que se cuenta. </t>
  </si>
  <si>
    <t>Valor indicativo en pesos constantes de 2022 corto, mediano y largo plazo</t>
  </si>
  <si>
    <t>Equipo gestor especializado</t>
  </si>
  <si>
    <t>Total  año 1 al 5</t>
  </si>
  <si>
    <t>Total 6 al año 20</t>
  </si>
  <si>
    <t>Funcionamiento red colaborativa</t>
  </si>
  <si>
    <t>Se estima realizar 1 taller nacional y los talleres por región (7) presenciales, 2 talleres virtual por subregión (10) con mayor potencial para la producción de maíz tecnificado de mediana y gran escala y una mesa de trabajo presencial por cada región (7) y dos mesas de trabajo virtuales por cada región (14).  Para el desarrollo de las actividades a nivel nacional se proyectan 5 profesionales con un promedio de ingresos de $8.953.563, con experiencia en el sector y en las diferentes líneas temáticas con un coordinador de equipo. Se contemplan viajes internacionales para consolidar la red de colaboradores, el fortalecimiento de un equipo regional con profesionales y técnicos de acuerdo a las regiones con mayor potencial para la producción de maíz tecnificado de mediana y gran escala, considerando rodamientos, desplazamientos y viáticos. Se fortalecen la estrategia de comunicación con 1 campaña publicitaria institucional y 1 plan de medios radial a nivel subregional (10).  El proyecto contempla promover la red colaborativa de manera permanente que se deja por definir, considerando el nivel de información con que se cuenta.</t>
  </si>
  <si>
    <t>Mes 12  del año 20</t>
  </si>
  <si>
    <t>Participación en ferias comerciales internacionales</t>
  </si>
  <si>
    <t>Visitas a zonas productivas potenciales priorizadas</t>
  </si>
  <si>
    <t>Equipo Humano Nacional</t>
  </si>
  <si>
    <t>Desplazamiento</t>
  </si>
  <si>
    <t>Valor 2 al 4</t>
  </si>
  <si>
    <t>Valor 2 al 6</t>
  </si>
  <si>
    <t>Valor año 7 al 20</t>
  </si>
  <si>
    <t>Incentivos, deducciones tributarias, entre otras</t>
  </si>
  <si>
    <t>Valor anual años 6 al 11</t>
  </si>
  <si>
    <t>Años 12 al 20</t>
  </si>
  <si>
    <t>Valor anual del 6 al 20</t>
  </si>
  <si>
    <t>Hectáreas por año</t>
  </si>
  <si>
    <t xml:space="preserve">Este proyecto se considera para las 19 subregiones maiceras y 7 regiones a lo largo del territorio nacional. Se estiman 12 mesas de trabajo presencial, 12 mesas de trabajo virtuales, talleres y/o eventos de divulgación nacionales presenciales y 19 virtuales por subregión, un monto de material de divulgación de $3.000.0000 por subregión, se estima pautas en redes sociales por región por un valor global de 5 millones,  2 desarrolladores de plataformas para divulgar información, cursos cortos presenciales y virtuales por subregión, 2 personas que apoyen la realización de actividades a nivel nacional, una persona por región, con rodamiento, apoyos tecnológicos, se estima un 50% de dedicación a este proyecto y el restante tiempo al proyecto 7.2 . </t>
  </si>
  <si>
    <t>ICR Soluciones individuales en riego</t>
  </si>
  <si>
    <t>Fecha de Finalización</t>
  </si>
  <si>
    <t>Mes 12 Año 12</t>
  </si>
  <si>
    <t xml:space="preserve">Se estiman 25 mesas de trabajo (4 presenciales y 19 virtuales), 4 talleres y/o eventos de divulgación nacionales, talleres y/o eventos de divulgación regionales (7 presenciales, 1 en cada región y 19 virtuales, 1 en cada subregión), Escuelas, días de campo, giras técnicas,  y/ o visitas y  parcelas demostrativas (1 en cada subregión). Se estiman diplomados presenciales (1 en cada una de las 7 regiones) y virtuales (1 en cada una de las 19 subregiones); un equipo humano nacional de 2 personas, con viáticos y desplazamientos, y un equipo en región de 19 personas, con rodamiento (peajes y combustible) y apoyos tecnológicos (GPS y Tablet). Se propone un incentivo para inversiones en tecnologías y prácticas sostenibles para microempresas (7 por año, 1 en cada región), pequeñas empresas (7 por año, 1 en cada región) y medianas empresas (4 por año, 1 en cada región priorizada, correspondiente a las regiones que agrupan 10 de las 19 subregiones porque contienen más del 30% del área en producción de maíz en sistema tecnificado). Se considera "Por definir" otras formas de mejora. </t>
  </si>
  <si>
    <t xml:space="preserve">Incentivo microempresas técnicas especializadas  </t>
  </si>
  <si>
    <t xml:space="preserve">Incentivo pequeñas empresas técnicas especializadas  </t>
  </si>
  <si>
    <t xml:space="preserve">Incentivo  medianas empresas técnicas especializadas  </t>
  </si>
  <si>
    <t xml:space="preserve">Se estiman 11 mesas de trabajo (4 presenciales y 7 virtuales), talleres y/o eventos de divulgación nacional (4 talleres), regionales (1 por región) y virtuales (1 por subregión). Se estima un equipo humano nacional de 4 personas, con desplazamiento y viáticos, viajes internacionales (valor promedio tiquetes a Brasil, USA, México) y viáticos internacionales, un equipo humano en región de 7 personas, con rodamiento (Peajes y combustible) y apoyos tecnológicos (GPS y Tablet). Se propone un incentivo dirigido a promover la creación de empresas especializadas de extensión agrícola e industrial, en total 60 empresas en 5 años, es decir 12 empresas por año, entre micro, mediana y pequeña empresa (3 en cada una de las 4 regiones priorizadas, correspondiente a las regiones que agrupan 10 de las 19 subregiones porque contienen más del 30% del área en producción de maíz en sistema tecnificado). Se considera "Por definir" la implementación del modelo I+D+i y otras formas de fortalecimiento. </t>
  </si>
  <si>
    <t>Se estiman 25 mesas de trabajo (4 presenciales y 19 virtuales), 4 talleres y/o eventos de divulgación nacionales, talleres y/o eventos de divulgación regionales (7 presenciales y 19 virtuales - 1 en cada subregión), 19 parcelas demostrativas y 19 giras técnicas (1 en cada subregión). Se estiman, cursos cortos, cursos libres, y diplomados presenciales (1 en cada una de las subregiones) y virtuales (5 en cada una de las 19 subregiones). Se estima un apoyo del 30% para formación tecnológica y/o universitaria, maestría y doctorado. Se estima un equipo humano nacional de 2 personas, con viáticos y desplazamientos, y viajes y viáticos internacionales, y un equipo en región de 7 personas, con rodamiento (peajes y combustible) y apoyos tecnológicos (GPS y Tablet). Se considera "Por definir" Otros tipos de fortalecimiento.</t>
  </si>
  <si>
    <t>Mes 10 del año 1</t>
  </si>
  <si>
    <t>% Publico</t>
  </si>
  <si>
    <t>% Privado</t>
  </si>
  <si>
    <t>% Cooperación Internacional (CI)</t>
  </si>
  <si>
    <t>Valor Público</t>
  </si>
  <si>
    <t>Valor Privado</t>
  </si>
  <si>
    <t>Valor CI</t>
  </si>
  <si>
    <t>% Presupuesto General de la Nación (PGN)</t>
  </si>
  <si>
    <t>% Presupuesto Sistema General de Regalías</t>
  </si>
  <si>
    <t>%Recursos Entidades Territoriales</t>
  </si>
  <si>
    <t>%Otros Recursos</t>
  </si>
  <si>
    <t>Recursos Presupuesto General de la Nación (PGN)</t>
  </si>
  <si>
    <t xml:space="preserve"> Recursos Presupuesto Sistema General de Regalías</t>
  </si>
  <si>
    <t>Recursos Entidades Territoriales</t>
  </si>
  <si>
    <t>Otros Recursos</t>
  </si>
  <si>
    <t>Distribución Fuentes de Financiación estimativo de Costos Plan de acción cadena de maiz</t>
  </si>
  <si>
    <t>Porcentaje y Valor indicativo en pesos constantes  de 2022 corto, mediano y largo plazo</t>
  </si>
  <si>
    <t>Mes 10  Año 1</t>
  </si>
  <si>
    <t>Mes 4 Año 1</t>
  </si>
  <si>
    <t>Se estima a intervenir 15 subregiones para maíz tradicional ya que de acuerdo al documento de regionalización VI Alto Magdalena, LA Tolima Huila, LA Valle Occidente  y VI Valle del Cauca tienen un porcentaje menor del 5% en maíz tradicional y se consideran subregiones tecnificadas que no se intervienen en este programa. Se estiman 24 mesas de trabajo presencial y virtuales (dos por mes), se estima la realización de  talleres y/o eventos de divulgación nacional y/regional, uno por subregión a intervenir, tanto de  manera presencial como virtual, se estimó un incentivo a las Tics por un valor de $300.000, que corresponde al valor de la Tablet para 10 personas por región. También se estima un incentivo a la conectividad por un valor de $600.000 el cual se calculó para pagar el servicio de internet por un año por región.   Se estima la realización de un plan de medios radial regional,  un equipo humano a nivel nacional que ejecuten el proyecto 6.1 y 6.2 , de 2 personas con un valor promedio de $7.862.772 por diez meses, una persona por cada región con un valor promedio de $2.516.084 con su respectivo rodamiento por un período de 8 meses, que comparten actividades con el proyecto 6.2. Se considera por definir convenios y programas y otras formas de contribución.</t>
  </si>
  <si>
    <t>LEC modernización de maquinaria</t>
  </si>
  <si>
    <t>Valor 1 al 5 año</t>
  </si>
  <si>
    <t>Valor adicional para fortalecer el ISA ( Incentivo de seguros agropecuarios) para el sector maicero</t>
  </si>
  <si>
    <t xml:space="preserve">Has </t>
  </si>
  <si>
    <t>LEC  adecuación de tierras para uso agropecuario</t>
  </si>
  <si>
    <t>Año 2 al 5</t>
  </si>
  <si>
    <t>Año 6 al 11</t>
  </si>
  <si>
    <t>Valor año</t>
  </si>
  <si>
    <t>Incentivo ICR para el montaje de plantas de secamiento y almacenamiento proyecto finquero</t>
  </si>
  <si>
    <t>Incentivo ICR para el montaje de plantas de secamiento y almacenamiento asociativo pequeño</t>
  </si>
  <si>
    <t>Incentivo ICR para el montaje de plantas de secamiento y almacenamiento asociativo mediano</t>
  </si>
  <si>
    <t>Se supone la intervención a 10 subregiones porque  tienen más del 30% en producción de maíz tecnificado, que se agrupan en 4 macro regiones (Costa, Valle, Tolima y Llanos). Se estiman actividades de gestión desde el año 1 al 11. Se proponen mesas de trabajo presenciales y virtuales, realizadas cada semestre a nivel subregional se identifican y convocan a los agentes  que participan de la cadena de suministro de insumos, bienes y servicios para los productores. Se proponen  2 talleres anuales y 2 cursos cortos (presenciales y virtuales  en cada subregión, se capacita a productores y agroindustriales en la planificación y gestión de su cadena de suministros, la logística y tecnología involucrada y se estima dar acompañamiento e información sobre los instrumentos que tienen disponibles para el emprendimiento y la creación de empresas comerciales y de suministros de bienes y servicios para la producción. Se sugiere complementar la capacitación con diplomados en gestión de las cadenas de suministro, presenciales y virtuales para dos personas/año por subregión. Se realiza una Feria - Rueda de negocios, anual por subregión, presencial y virtual, como espacio para que oferentes de semillas, fertilizantes, fitosanitarios, agro biológicos, servicios operativos, servicios técnicos y tecnológicos, maquinaria, servicios logísticos, de mecanización, etc., se encuentren con los productores y agroindustriales, para la proyección y realización de negocios. Se considera un equipo humano de acción nacional de 2 personas, con sus desplazamientos, para liderar y coordinar las actividades de capacitación, divulgación y comerciales. Se supone un equipo humano de acción subregional, con rodamientos y apoyos tecnológicos para las actividades de coordinación, operativas, logísticas, personal que compare actividades con el proyecto 3.4. Las actividades de capacitación, talleres y eventos de divulgación se estima  implementarse  durante 5 años y las ferias - ruedas de negocio durante 20 años.</t>
  </si>
  <si>
    <t>Se propone realizar 6 mesas de trabajo presenciales y 6 virtuales en al año,  6 talleres virtuales y 6 presenciales. Se propone apoyar el desarrollo de la industria de la cal con el desarrollo de un incentivo para el emprendimiento a 2 empresas medianas en el año durante 5 años, por un valor de $39.597.850, el cual se calculó teniendo clasificación de empresas de acuerdo con el nivel de ingresos, a lo cual se calcula un % 3  y luego un 2% para medianas empresas. Se propone la contratación de 2 personas para brindar acompañamiento técnico a los empresarios en las diferentes actividades que se desarrollan en el marco de este proyecto, con un promedio mensual de $9.907.096 y se calculan  desplazamientos a las regiones.</t>
  </si>
  <si>
    <t>LEC para créditos de capitalización empresas</t>
  </si>
  <si>
    <t>Se supone la intervención a 10 subregiones porque  tienen más del 30% en producción de maíz tecnificado. Las actividades de promoción y fortalecimiento se estiman durante los primeros 5 años. Se propone realizar 10 mesas de trabajo presenciales y 10 virtuales, una por subregión, para la selección de organizaciones priorizadas para el proyecto. Se propone realizar 2 talleres en cada subregión para capacitar y orientación a los productores en el desarrollo de empresas de economía solidaria. Se propone realizar una gira técnica desde cada subregión para conocer empresas cooperativas que operen exitosamente. Se sugiere complementar la capacitación con cursos cortos, presenciales y virtuales, a personas vinculadas con las organizaciones de economía solidaria en cada subregión. Se presupuesta  un equipo de dos personas y sus desplazamientos, con campo de operación nacional  especializados en las temáticas del desarrollo empresarial y alianzas estratégicas, para coordinar y realizar las actividades de capacitación y consultoría. Se estima un equipo humano de campo con  rodamientos y apoyos tecnológicos de operación subregional, para las actividades operativas, de coordinación y monitoreo del avance de los proyectos. A partir del año 6, para las empresas ya consolidades, se sugiere incentivos LEC  de 10%, para créditos de capitalización de $500.000.000 por empresa asociativa cada subregión.</t>
  </si>
  <si>
    <t>Valor adicional para fortalecer el programa de cobertura de precios y tasa de cambio para maíz</t>
  </si>
  <si>
    <t xml:space="preserve">Se supone la intervención a 10 subregiones porque  tienen más del 30% en producción de maíz tecnificado, que se agrupan en 4 macro regiones (Costa, Valle, Tolima y Llanos). Se proponen 10 mesas de trabajo presenciales, complementadas con 10 virtuales, una por subregión para promover las alianzas estratégicas entre los agentes de la cadena.  Cada semestre en la época de siembras y previo a cosecha se propone realizar talleres/eventos en las 4 regiones mayores,  para acompañar gestiones comerciales alrededor de las integraciones, alianzas y acuerdos entre productores comercializadores y procesadores. En las 4 macro regiones, se estiman cursos cortos, presenciales y virtuales de capacitación en gestión empresarial y planeación estratégica, uno por semestre en cada región mayor. Se estima patrocinar  la realización de diplomados presenciales y virtuales, en gerencia y administración de empresas a 5 lideres de esquemas empresariales en cada una de las 4 macro regiones. Una vez por semestre se realizan ruedas de negocio, presenciales y virtuales, para  la definición de contratos entre productores e industria y para evaluar el resultado de los contratos definidos el semestre anterior. Para promocionar estas actividades, se sugiere un plan de medios y  material promocional por subregión. Se considera un equipo de dos personas con un promedio de $8.963.563 con su desplazamiento con campo de operación nacional especializados en las temáticas del desarrollo empresarial y alianzas estratégicas, para coordinar y realizar las actividades de capacitación y consultoría en el desarrollo de las alianzas. Se estima un equipo humano de campo de operación subregional, una persona por subregión con rodamientos y apoyos tecnológicos, para las actividades operativas, de coordinación y monitoreo del avance de los proyectos, actividades compartidas con el proyecto 3.1. </t>
  </si>
  <si>
    <t>Asociaciones/empresa</t>
  </si>
  <si>
    <t xml:space="preserve">Se estiman 6 mesas de trabajo presencial y 6 virtuales, pago anual a plataformas de información y base de datos,  se estima 2 visitas de consultores internacionales con tiquetes y viáticos para profundizar sobre temas de mercado en otros países de referencia, se estima la creación de un incentivo al valor agregado para pequeñas y medianas empresas, el cual se calculó teniendo en cuenta el valor de los ingresos de micro y pequeñas empresas, de acuerdo a la clasificación de la Dian, a la cual se le estimó un porcentaje del 10% y 5% del valor anual de los ingresos estimados y a este resultado se le calculó el 10% y el 5%  para hallar un valor de apoyo para la generación de valor agregado para micro y pequeñas empresas de $8.954.883 y $19,476.575 respectivamente, para 8  microempresas  y 4 pequeñas empresas en las regiones a intervenir, cada región. Se estimaron 5 talleres y/o eventos de divulgación nacionales y regionales por región a intervenir, tanto presencial como virtual, se estimó la realización de 2 ferias comerciales por región a intervenir, ruedas de negocios presenciales y virtuales por región, se estiman certificaciones diferenciadoras por región a intervenir, campaña publicitaria nacional, campañas publicitarias por región a intervenir, 2 stand de promoción y divulgación por zonas a intervenir, pautas en redes sociales por región, plan de medios radiales a nivel regional, cursos cortos presenciales y virtuales a nivel regional ( 2 por región a intervenir),  se calcula un equipo humano para los proyectos 1.1 y 1.2  a nivel nacional con un salario promedio de $7.862.772 y su desplazamiento a región, se estima también un personal en región con un sueldo promedio de $3.931.384 y rodamiento de $1.300.000 para el desplazamiento en región y apoyos tecnológicos.  Se deja por definir  otros mecanismos de posicionamiento. </t>
  </si>
  <si>
    <t>Análisis de calidad del grano</t>
  </si>
  <si>
    <t>Tonelada con garantías Fag</t>
  </si>
  <si>
    <t>Consultoría Especializada</t>
  </si>
  <si>
    <t>Tiquetes y desplazamiento 8 días</t>
  </si>
  <si>
    <t>Se propone realizar una mesa de trabajo mensuales, talleres de carácter nacional cada 3 meses, se sugiere participar en 2 ferias comerciales internacionales para promover inversión. Se propone realizar 2 visitas a conocer en el terreno, las regiones con potencial para recibir las inversiones. Se sugiere contratar un equipo de consultor de 4 personas para  gestión, estructuración de proyectos y para brindar orientación y acompañamiento  a los empresarios e inversionistas, se incluyen los cálculos de desplazamientos a las regiones.</t>
  </si>
  <si>
    <t>Se estima a intervenir 15 subregiones para maíz tradicional ya que de acuerdo al documento de regionalización VI Alto Magdalena, LA Tolima Huila, LA Valle Occidente  y VI Valle del Cauca tienen un porcentaje menor del 5% en maíz tradicional y se consideran subregiones tecnificadas que no se intervienen en este programa. Se estiman desarrolladores de plataformas por 4 meses, mesas de trabajo 12 virtuales y 12 presenciales, talleres y se estima la realización de  talleres y/o eventos de divulgación nacional y/regional, uno por mes, tanto de  manera presencial como virtual, también se estima realización de 4 cursos cortos presenciales por subregión de manera presencial y 4 cursos cortos por subregión de manera virtual, en el cual el 50% es asumido por el que toma el curso,  se estima la realización de diplomados (3 por región) de manera presencial y virtual, se estima apoyar el 50% de formación tecnológico a una persona por región, se estima la realización de plan de medios radial regional para difundir el proyecto. Se estima un incentivo a la unidad productiva basados en proveer insumos para sembrar una hectárea de maíz tradicional de manera óptima, que es un valor de $1.610.000 por familia, se estima intervenir al 30% de las familias durante le desarrollo del plan. Se estima un equipo humano a nivel nacional y en región, de 4 personas con un valor promedio de $5.661.197 por diez meses, una persona por cada región con un valor promedio de $3.931.384 con su respectivo rodamiento  y apoyos tecnológicos por un período de 8 meses. Se estima un grupo de personas para asistir el 100% de las familias con producción tradicional durante el desarrollo del POP, asistencia que se dará 50% de manera virtual y 50% presencial, personal que se va reduciendo ya que se estima que las familias tradicionales disminuyen a lo largo del tiempo al ser más tecnificadas. Se considera por definir convenios y programas y otras formas de contribución.</t>
  </si>
  <si>
    <t>Se estima a intervenir 15 subregiones para maíz tradicional ya que de acuerdo al documento de regionalización VI Alto Magdalena, LA Tolima Huila, LA Valle Occidente  y VI Valle del Cauca tienen un porcentaje menor del 5% en maíz tradicional y se consideran subregiones tecnificadas que no se intervienen en este programa. Se estima la realización de mesas de trabajo 12 virtuales y 12 presenciales,  se estima la realización de  talleres y/o eventos de divulgación nacional y/regional, uno por región, campañas institucionales por región a intervenir, un monto global de material promocional, también se estima realización  de cursos cortos presenciales  y virtuales por subregión,  Se estima un incentivo a la formalización de $1.610.000 para pequeños  como apoyo en asesoría, documentación, para 10 empresas por cada región, que corresponde al valor de una ha de maíz tradicional,  se estima un incentivo al emprendimiento por $8.954.883 para pequeñas empresas para 10 empresas por cada región, el cual se calculó teniendo en cuenta el valor de los ingresos  de acuerdo a la clasificación de la Dian, a la cual se le estimó un porcentaje del  5% del valor anual de los ingresos estimados y a este resultado se le calculó el  5%. Se estima un equipo humano a nivel nacional de 2 personas con un valor promedio de $7.862.772  por diez meses, una persona por cada región con un valor promedio de $3.145.107 con su respectivo rodamiento por un período de 10 meses. Se considera por definir otras formas de promoción.</t>
  </si>
  <si>
    <t>Consultoría especializada</t>
  </si>
  <si>
    <t>Se estima la realización de mesas de trabajo 12 virtuales y 12 presenciales,  se estima la realización de  talleres y/o eventos de divulgación nacional y/regional, dos por región.  Se estima 1 consultor especializado durante 5 meses, cada año para realizar asesoría en formulación de proyectos. Se estima un equipo humano a nivel nacional de 2 personas con un valor promedio de $7.862.772  por diez meses, una persona por cada región con un valor promedio de $3.145.107 con su respectivo rodamiento por un período de 10 meses. Se considera por definir otras formas de promoción.</t>
  </si>
  <si>
    <t xml:space="preserve">Se estima a intervenir 15 subregiones para maíz tradicional ya que de acuerdo al documento de regionalización VI Alto Magdalena, LA Tolima Huila, LA Valle Occidente  y VI Valle del Cauca tienen un porcentaje menor del 5% en maíz tradicional y se consideran subregiones tecnificadas que no se intervienen en este programa. Se estiman 30 mesas de trabajo presencial y virtuales (una por subregión), se estiman contribuir a las familias para mejorar el manejo integral de  UPA,  estimando el 30% del   del establecimiento de un cultivo tradicional de mayor productividad, este porcentaje corresponde al supuesto de participación del maíz dentro de la unidad productiva, lo cual arroja un valor de $483.000,  se estima intervenir el 50% de las UPAS de maíz tradicional (39369) durante los 20 años de la realización del POP, 984 año, también se estima realización de 10 cursos cortos presenciales por región a intervenir  (15) y virtuales (15), se estima la realización de  talleres y/o eventos de divulgación nacional y/regional, dos por región a intervenir, tanto de  manera presencial como virtual,  se estima la realización de 2 mercados campesinos por subregión a intervenir, 2 desarrolladores de plataformas de mercadeo para desarrollar y promocionar los productos campesinos de manera virtual por 4 meses, plan de medios regional para promocionar los mercados campesinos. Se estimó un incentivo de vivienda para apoyar a una familia por región, en la cual se apoya con el 30% de la cuota inicial de una vivienda, la cual se estimó en 21 millones, se estimó un valor de apoyo para seis  meses de servicios públicos por un valor promedio de $25.000 apoyando a 30% de las familias durante 18 años, también se estimó un incentivo a las Tics por un valor de $300.000 que corresponde a la donación de una Tablet que se costea en $300.00 para el 30% de las familias durante 18 años, cada año se estima apoyar a 590 familias. También se estima un incentivo a la conectividad para apoyar el 30% de las familias durante los 18 años del proyecto, es decir 590 familias año por un valor de $600.000 el cual se calculó para pagar el servicio de internet por un año.  Se estima un valor material promocional de $10 millones por región.  Se estima un equipo humano a nivel nacional de 2 personas para que ejecute los proyectos 6.1 y 6.2 , con un valor promedio de $7.862.772 por diez meses, una persona por cada región con un valor promedio de $2.516.084 con su respectivo rodamiento por un período de 8 meses. </t>
  </si>
  <si>
    <t>Otros mecanismos de seguridad jurídica</t>
  </si>
  <si>
    <t xml:space="preserve">Se estima realizar 1 taller nacional y los talleres presenciales por subregión (priorizando 10 zonas por su ubicación estratégica), 1 taller virtual por subregión (19), 1  mesa de trabajo por región (7) y una mesa de trabajo virtual por región (7) y se incluyen mesas internacionales y nacionales para conocer experiencias (3), para el desarrollo de las actividades se proyectan 3 profesionales con un promedio salarial de 7.862.772 para el apoyo de las actividades del proyecto a nivel nacional, considerando el desplazamiento y viáticos. El proyecto contempla acciones de contribuir en el recaudo de la cuota de fomento cerealista que se deja por definir, considerando el nivel de información con que se cuenta.  Se considera un monto global de 60 millones para consultorías especializadas que apoyen el diseño y/o mejora de las normas técnicas para comercialización de maíz, así como el diseño y/o mejora de otros instrumentos para comercialización, empresarización, gestión de riesgo. </t>
  </si>
  <si>
    <t>Total año y  2</t>
  </si>
  <si>
    <t>Consultorías especializadas</t>
  </si>
  <si>
    <r>
      <t>En este anexo se presentan los detalles de los cálculos realizados para estimar los costos de implementación del portafolio de programas y proyectos para el subsector maíz, en pesos constantes de 2022. Esta estimación de costos arroja un valor indicativo de la suma de recursos financieros, que al momento se pueden cuantificar, para lograr las metas propuestas en el plan, es importante aclarar que este es un valor base</t>
    </r>
    <r>
      <rPr>
        <sz val="11"/>
        <color theme="1"/>
        <rFont val="Arial"/>
        <family val="2"/>
      </rPr>
      <t xml:space="preserve">, algunos  de los rubros </t>
    </r>
    <r>
      <rPr>
        <sz val="11"/>
        <rFont val="Arial"/>
        <family val="2"/>
      </rPr>
      <t>quedan descritos c</t>
    </r>
    <r>
      <rPr>
        <sz val="11"/>
        <color theme="1"/>
        <rFont val="Arial"/>
        <family val="2"/>
      </rPr>
      <t>omo “Por definir” ya</t>
    </r>
    <r>
      <rPr>
        <sz val="11"/>
        <rFont val="Arial"/>
        <family val="2"/>
      </rPr>
      <t xml:space="preserve"> que en este momento no se cuentan con suficientes elementos para poder cuantificar su costo; corresponderá a los ejecutores del plan precisar esa información. En ese mismo sentido es importante aclarar que los valores consignados en esta estimación, en ningún caso representan asignaciones presupuestales, corresponderá a los ejecutores del plan revisar y actualizar los costos, y gestionar la financiación para la implementación  de cada uno de los proyectos.</t>
    </r>
  </si>
  <si>
    <t>Al Portafolio de Programas y Proyectos de este Plan, aún, no se le han asignado recursos del Gobierno, ni de la UPRA, ni del sector privado, ni de cooperación internacional.
En ese sentido esta Estimación de Costos es la herramienta que permitirá al MADR y a los actores tanto públicos como privados por el sector maíz, saber cuál es la demanda de recursos aproximada para desarrollar los proyectos señaladas en el Portafolio y con ello facilitar gestión de recursos para su implementación.
Esta Estimación de Costos presentado debe ser revisada y actualizada periódicamente.</t>
  </si>
  <si>
    <t>kits de maquinaria</t>
  </si>
  <si>
    <t>Cantidad  estimada de almacenamientoda por tipo de proyecto</t>
  </si>
  <si>
    <t>Se estiman 6 mesas de trabajo presencial y 6 virtuales (una por mes), pago de plataformas de información. Se supone la intervención a 10 subregiones porque  tienen más del 30% en producción de maíz tecnificado, se estiman 20 talleres y/o eventos de divulgación nacionales y/o regionales presenciales y 20 virtuales,  se supone la intervención en solo 4 regiones  mayores de acuerdo a la importancia actual y potencial en el mercado, 10 ruedas de negocios presenciales y 10 ruedas de negocios virtuales. Se estima 10 cursos cortos por subregión a intervenir presencial y 10 cursos cortos virtuales,  4 campañas institucionales por área a intervenir, cursos libres virtuales, para 10 personas por región, ruedas de negocios presenciales y virtuales por subregión,  2 ferias comerciales por región a intervenir. Se estima un equipo humano  de 5 personas compartido para los proyectos 1.1 y 1.2 con un salario promedio mensual de $7.862.772 por 12 meses, se estima 8 desplazamientos  con sus tiquetes y viáticos. Se estima equipo de trabajo, rodamiento, y apoyos tecnológicos en las 4 regiones a intervenir. Se sugiere la creación de un incentivo para el pago de la comisión Fag de contratos de suministro,  se estiman siembras de 193.000 has anuales de manera tecnificada que producen 1.119.400 toneladas de maiz , de las cuales, el 20%, es decir 223.880 toneladas, se comercialicen con contratos anticipados. Se supuso un valor por tonelada de maíz de 1.000.000 por tonelada,  y se estimó que el porcentaje de comisión del FAG es del 3.75% y el registro en la BMC del vendedor es de 0.04% del valor de la negociación, lo que arroja un valor de $37.900 por tonelada de maíz registrada en la BMC, valor que se estima sea asumido por el estado  durante los cinco primeros años .  Se deja por definir  otras formas de aumento.</t>
  </si>
  <si>
    <t>ICR Compra cal dolomita  has de maíz</t>
  </si>
  <si>
    <t>LEC Compra cal  has de maíz</t>
  </si>
  <si>
    <t>Se supone la intervención a 10 subregiones porque  tienen más del 30% en producción de maíz tecnificado, que se agrupan en 4 regiones mayores (Costa, Valle, Tolima y Llanos). Se estiman actividades de gestión desde el año 1 al 11. Se estima la realización de mesas de trabajo presenciales y virtuales, a nivel subregional por una parte se trabaja la selección de locaciones adecuadas para planificar la construcción de infraestructura de secamiento y almacenamiento. También explorar sobre el interés en los procesos industriales de transformación y productos derivados. Se sugiere talleres se da capacitación sobre los aspectos técnicos para la instalación de plantas de secamiento y almacenamiento, sobre los procesos de transformación, formulación de planes de negocio  y el desarrollo de empresas con este fin. Igualmente en estos talleres o eventos de divulgación se generan conexiones entre los productores, los comercializadores y las empresas constructoras de plantas industriales. Se sugiere complementar la capacitación con giras técnicas a instalaciones en funcionamiento, cursos cortos, presenciales y virtuales. Los estima procesos de capacitación y acompañamiento para la construcción de infraestructura y constitución de empresas de transformación se realizan durante 10 años. Se estima  la construcción anual de 157,895 toneladas de capacidad instalada de infraestructura de secamiento y almacenamiento, para completar en 19 años una capacidad de 3.000.000 de toneladas. De esta cantidad se estima que el  10% sea para pequeños productores, es decir 15.789, el 40% para  pequeños productores asociados, es decir 63.158 y el 30% restante para medianos productores asociados es decir 47.368 productores, el 20% restante sería para grandes productores, que no serían objeto de incentivo. El costo promedio de esta infraestructura es de USD 974 / ton de capacidad instalada construida por pequeños productores individuales (1000 ton de almacenamiento y 35 ton / día de secamiento), de USD 743 / ton a la construida por pequeños productores asociados (3000 ton de almacenamiento y 100 ton / día de secamiento), y de USD 599 / ton a la construida por medianos productores asociados (9000 ton de almacenamiento y 300 ton / día de secamiento), a lo cual se estima inyectar recursos para apoyar un 20% de ICR para el montaje de plantas de secamiento y almacenamiento.  Se estima incentivos para el emprendimiento de industrias de procesamiento de maíz, a 5 microempresas, a 3 pequeñas empresas y a 1 mediana empresa. El valor del incentivo se calculó teniendo en cuenta el valor de los ingresos de micro, pequeñas y medianas empresas, de acuerdo a la clasificación de la Dian, a la cual se le estimó un porcentaje del 10%, 5% y 3% del valor anual de los ingresos estimados y a este resultado se le calculó el 10%,   5% y 2%  para hallar un valor de apoyo para el emprendimiento por un valor de $8.954.883, $19,476.575 y $39.597.850 respectivamente. Se considera un equipo humano de acción nacional de 2 personas para liderar y coordinar las actividades de capacitación, divulgación y comerciales de los proyecto 3.3 y 3.4 . Se complementa con un equipo humano de acción subregional, con rodamientos y apoyos tecnológicos, para las actividades de coordinación, operativas, logísticas que comparten actividades con el proyecto 3.4.</t>
  </si>
  <si>
    <t>Se estiman 25 mesas de trabajo (4 presenciales y 19 virtuales), 4 talleres y/o eventos de divulgación nacionales, talleres y/o eventos de divulgación regionales (19 presenciales y 19 virtuales, 1 en cada subregión), 10 parcelas demostrativas (se toman 10 de las 19 subregiones porque contienen más del 30% del área en producción de maíz en sistema tecnificado, que se agrupan en 4 regiones), material de divulgación (en las 4 regiones priorizadas), escuelas, días de campo, giras técnicas,  y/o visitas (6 en cada una de las 10 subregiones). Se estiman, cursos cortos, cursos libres, y diplomados presenciales (1 en cada una de las 4 regiones priorizadas) y virtuales (1 en cada una de las 10 subregiones priorizadas); un equipo humano nacional de 2 personas, con viáticos y desplazamientos, un equipo en región de 10 personas, con rodamiento (peajes y combustible) y apoyos tecnológicos (GPS y Tablet) y unos consultores especializados para apoyar el diseño de riego intrapredial (1 en cada una de las 4 regiones priorizadas). Se estima un 7,5% de apoyo LEC de adecuación de tierras para uso agropecuario, en un 30% de  50.000 ha/año, es decir 15.000 ha/año, durante 10 años. Se estima un ICR del 20% para soluciones individuales en riego, de las 50.000 ha/año, un 5% anual, es decir 2.500 ha/año, del año 2 al año 20,  con un valor estimado de $7.994.184/ha (USD 2.150 a una tasa de cambio de $3.718); este valor corresponde a un sistema de riego por pivote que incluye equipos, y no incluye mano de obra, ni infraestructura para captación de aguas. Se considera "Por definir" Otros tipos de captación, almacenamiento y aprovechamiento de agua, y otras formas de promoción</t>
  </si>
  <si>
    <t>Este proyecto se considera para las 19 subregiones maiceras que pertenecen a 7 regiones a lo largo del territorio nacional. Se estiman la realización de 12 mesas de trabajo presencial y 12 mesas de trabajo virtuales, talleres y/o eventos de divulgación nacionales presenciales y virtuales a nivel subregional, un monto de material promocional de $3.000.000 por región, se estima pautas en redes sociales por región por un valor global de 5 millones,  una campaña institucional a nivel nacional, cursos cortos presenciales y virtuales 10 por región. Se estima la creación de un incentivo a la formalización de la propiedad para pequeños con el fin de apoyar en temas de registro y documentación, por un valor de $3.000.000 a 20 productores de cada subregión, 2 personas que apoyen la realización de actividades a nivel nacional, una persona por región, con rodamiento, apoyos tecnológicos, se estima un 50% de dedicación a este proyecto y el restante tiempo al proyecto 7.1 .  Se estima un equipo gestor especializado de 2 personas durante 5 años para que acompañe los inversitas en procesos de implementación</t>
  </si>
  <si>
    <t xml:space="preserve">Se estima realizar 1 taller nacional y los talleres por región (7) presenciales, 1 taller virtual por subregión (19) y una mesa de trabajo presencial por cada región (7)  y dos mesas de trabajo virtuales por cada subregión.  Para el desarrollo de las actividades se proyectan 3 profesionales con un promedio salarial de $7.862.772, se contemplan viajes por ejemplo a Argentina para el evaluar experiencias internacionales en el manejo de la calidad del grano y el fortalecimiento de un equipo regional con profesionales y técnicos a los cuales se les asigna dos subregiones, considerando el rodamientos, desplazamiento y viáticos. Se fortalecen la estrategia de comunicación con 1 campaña publicitaria institucional y 1 plan de medios radial a nivel subregional (19).  Se estima el fortalecimiento de laboratorios del ICA e Invima para los temas relacionados con el control de calidad del grano que se deja por definir. El proyecto contempla acciones para el diseño de la estrategia financiera y otras formas de fortalecimiento que se deja por definir, considerando el nivel de información con que se cuenta. </t>
  </si>
  <si>
    <t xml:space="preserve">Se supone la intervención a 10 subregiones porque  tienen más del 30% en producción de maíz tecnificado, que se agrupan en 4 regiones mayores. (Costa, Valle, Tolima y Llanos). Se propone realizar 20 mesas de trabajo presenciales y 20 virtuales, 30 talleres virtuales y 30 talleres presenciales.  Se estima  complementar la capacitación con  10 cursos cortos de capacitación, 10 cursos cortos virtuales. Se estima apoyar con el 50% del costo a 1 persona por subregión a intervenir para la realización de cursos libres y 10 para cursos libres virtuales. Para acceder al oferta de consultoría agronómica y tecnología, para la alta productividad, se realizaran dos veces por año (semestrales),  en las 4 regiones mayores, un total de 8 ruedas de negocio presenciales, 8 ruedas de negocio virtuales, 8 ferias comerciales. Se propone  10 giras técnicas una por subregión a intervenir para conocer experiencias prácticas de sistemas de alta productividad. Se propone la divulgación y promoción de las actividades, mediante planes de medios, pauta en redes sociales, material promocional y de divulgación por subregión intervenir. Se estima implementar 2 lotes modelos por año (semestrales) en las 10 subregiones a  a intevenir. Se estima un apoyo del  50% del costo de la certificación de calidad para 2 plantas productoras de cal dolomita durante los primeros 5 años. Se propone una consultoría técnica especializada para alta productividad a 100 unidades de producción de 20 has por semestre, es decir 4.000 has, con un costo de 90 dólares por ha. Se propone contratar un equipo técnico humano nacional, de foco operativo, de 4 personas para la gestión de las actividades en las cuatro regiones mayores (Costa, Tolima, Valle y Llanos). Se propone contratar 4 profesionales especializados, durante 4 años, con un promedio salarial de $12.894.9491 con especialidad en tema semillas para acción nacional y 3 con especialidad en temas de suelos nutrición para acción en regiones Costa, Valle-Tolima y Llanos. Se propone crear un  incentivo a la adecuación química de suelos para la siembra de 50.000 has por año,  con  la aplicación de 5 t/h de Cal dolomita, es decir 250.000 toneladas anuales,  con un costo de $100.000 por tonelada, mediante la asignación de ICR del 40% durante los 10 primeros años, ya que es una inversión de lento retorno, a partir del año 12 y hasta el  20 se propone una línea especial de crédito, que subsidie el 7.5% del interés del valor del crédito para la compra de 250.000 toneladas de cal por año. Para modernizar la  maquinaria, se propone asignar recursos para  la compra  de 125 kits-núcleos de 400 has de capacidad, es decir para la mecanización de  50.000 has, cuyo costo por kit es de $2.570.750 según estudio realizado en la iniciativa soya maíz , proyecto maíz del 2021, mediante la asignación de ICR del 20% del valor de estos kits. Posteriormente se asignaran recursos de LEC para  continuar apoyando  la  modernización de la maquinaria, a partir del año 12 y hasta el  20 se propone una línea especial de crédito para subsidiar 7.5% puntos de la tasa de interés del costo de la maquinaria para continuar modernizando los equipos para la siembra de 50.000 has de cultivo por año. </t>
  </si>
  <si>
    <t>SUPUESTOS ESTIMACION DE COSTOS</t>
  </si>
  <si>
    <t>VALOR ESTIMADO</t>
  </si>
  <si>
    <t>1. Costos de personal</t>
  </si>
  <si>
    <t>a. Honorarios</t>
  </si>
  <si>
    <t>Tabla de Honorarios Contratos de Prestación de Servicios</t>
  </si>
  <si>
    <t>Categorías</t>
  </si>
  <si>
    <t>Consultor Categoría III Nivel 8</t>
  </si>
  <si>
    <t>TP+MA+70 -79 ME</t>
  </si>
  <si>
    <t>$/mes</t>
  </si>
  <si>
    <t>Consultor Categoría III Nivel 7</t>
  </si>
  <si>
    <t>TP+MA + 60 - 69 ME</t>
  </si>
  <si>
    <t>Consultor Categoría III Nivel 6</t>
  </si>
  <si>
    <t>TP+MA + 50 - 59 ME</t>
  </si>
  <si>
    <t>Consultor Categoría III Nivel 5</t>
  </si>
  <si>
    <t>TP+MA + 40 - 49 ME</t>
  </si>
  <si>
    <t>Consultor Categoría III Nivel 4</t>
  </si>
  <si>
    <t>TP+E+ 46 - 51 ME</t>
  </si>
  <si>
    <t>Consultor Categoría III Nivel 3</t>
  </si>
  <si>
    <t>TP+E+ 41 - 45 ME</t>
  </si>
  <si>
    <t>Consultor Categoría III Nivel 2</t>
  </si>
  <si>
    <t>TP+E+ 35 - 40 ME</t>
  </si>
  <si>
    <t>Abreviaciones:</t>
  </si>
  <si>
    <t>Consultor Categoría III Nivel 1</t>
  </si>
  <si>
    <t>TP+E+ 29 - 34 ME</t>
  </si>
  <si>
    <t>Consultor Categoría II Nivel 8</t>
  </si>
  <si>
    <t>TP+E+ 23 - 28 ME</t>
  </si>
  <si>
    <t>TB</t>
  </si>
  <si>
    <t>Titulo de bachiller o diploma de bachiller</t>
  </si>
  <si>
    <t>Consultor Categoría II Nivel 7</t>
  </si>
  <si>
    <t>TP+E+ 17 - 22 ME</t>
  </si>
  <si>
    <t>TFTP</t>
  </si>
  <si>
    <t>Título de formación técnica profesional</t>
  </si>
  <si>
    <t>Consultor Categoría II Nivel 6</t>
  </si>
  <si>
    <t>TP+E+ 11 - 16 ME</t>
  </si>
  <si>
    <t>TFT</t>
  </si>
  <si>
    <t>Titulo de formación tecnológica</t>
  </si>
  <si>
    <t>Consultor Categoría II Nivel 5</t>
  </si>
  <si>
    <t>TP+E+ 5 - 10 ME</t>
  </si>
  <si>
    <t>TP</t>
  </si>
  <si>
    <t>Titulo Profesional</t>
  </si>
  <si>
    <t>Consultor Categoría II Nivel 4</t>
  </si>
  <si>
    <t>TP + 25 - 33 ME</t>
  </si>
  <si>
    <t>E</t>
  </si>
  <si>
    <t>Titulo de Posgrado en la modalidad de especialización</t>
  </si>
  <si>
    <t>Consultor Categoría II Nivel 3</t>
  </si>
  <si>
    <t>TP + 18 - 24 ME</t>
  </si>
  <si>
    <t>MA</t>
  </si>
  <si>
    <t>Titulo de posgrado en la modalidad de maestría</t>
  </si>
  <si>
    <t>Consultor Categoría II Nivel 2</t>
  </si>
  <si>
    <t>TP + 10 - 17 ME</t>
  </si>
  <si>
    <t>ME</t>
  </si>
  <si>
    <t>Meses de Experiencia</t>
  </si>
  <si>
    <t>Consultor Categoría II Nivel 1</t>
  </si>
  <si>
    <t>TFT + 7 - 15 ME, ó TP + 3 - 9 ME</t>
  </si>
  <si>
    <t>Consultor Categoría I Nivel 8</t>
  </si>
  <si>
    <t>TFT + 4-6 ME, ó TP +0 - 1 ME</t>
  </si>
  <si>
    <t>Consultor Categoría I Nivel 7</t>
  </si>
  <si>
    <t>TFT+1-3 ME</t>
  </si>
  <si>
    <t>Consultor Categoría I Nivel 6</t>
  </si>
  <si>
    <t>TFTP +7-10 ME</t>
  </si>
  <si>
    <t>Consultor Categoría I Nivel 5</t>
  </si>
  <si>
    <t>TFTP +4-6 ME</t>
  </si>
  <si>
    <t>Consultor Categoría I Nivel 4</t>
  </si>
  <si>
    <t>TFTP +1-3 ME</t>
  </si>
  <si>
    <t>Consultor Categoría I Nivel 3</t>
  </si>
  <si>
    <t>TB +16-20 ME</t>
  </si>
  <si>
    <t>Consultor Categoría I Nivel 2</t>
  </si>
  <si>
    <t>TB +8 -20 ME</t>
  </si>
  <si>
    <t>Consultor Categoría I Nivel 1</t>
  </si>
  <si>
    <t>TB +1- 7 ME</t>
  </si>
  <si>
    <t>Fuente: Valores referencia obtenidos de la tabla de honorarios de contratos de prestación de servicios y apoyo a la gestión - DNP 2022</t>
  </si>
  <si>
    <t>https://www.dnp.gov.co/DNP/contratacion</t>
  </si>
  <si>
    <t>Nota: Se supone para elaboración de estudios, conformación de grupos de trabajo de 5 personas, 1 líder y 4 profesionales de apoyo.</t>
  </si>
  <si>
    <t>2. Costos de desplazamiento a región</t>
  </si>
  <si>
    <t>a. Viáticos</t>
  </si>
  <si>
    <t>2. Tabla de viáticos  Contratos de Prestación de Servicios</t>
  </si>
  <si>
    <t>Honorarios</t>
  </si>
  <si>
    <t>TP+MA+70-79ME</t>
  </si>
  <si>
    <t>TP+MA+60-69 ME</t>
  </si>
  <si>
    <t>TP + MA +50-59 ME</t>
  </si>
  <si>
    <t>TP+MA+40-49ME</t>
  </si>
  <si>
    <t>TP+E+46-51ME</t>
  </si>
  <si>
    <t>TP+E+41-45ME</t>
  </si>
  <si>
    <t>TP+E+35-40ME</t>
  </si>
  <si>
    <t>TP+E+29-34ME</t>
  </si>
  <si>
    <t>TP+E+23-28ME</t>
  </si>
  <si>
    <t>TP+E+17-22ME</t>
  </si>
  <si>
    <t>TP+E+11-16ME</t>
  </si>
  <si>
    <t>TP+E+5-10ME</t>
  </si>
  <si>
    <t>TP+E+25-33ME</t>
  </si>
  <si>
    <t>TP+18-24 ME</t>
  </si>
  <si>
    <t>TP+10- 17 ME</t>
  </si>
  <si>
    <t>TFT+7-15 ME, o TP+3-9 ME</t>
  </si>
  <si>
    <t>TFT+ 4-6 ME, o TP+ 1 ME</t>
  </si>
  <si>
    <t>Nota: Cubre Alojamiento y Alimentación</t>
  </si>
  <si>
    <t>Viáticos/ Tabla de base de liquidación.</t>
  </si>
  <si>
    <t>COMISIONES DE SERVICIO EN EL INTERIOR DEL PAÍS</t>
  </si>
  <si>
    <t>BASE DE LIQUIDACIÓN</t>
  </si>
  <si>
    <t>VIÁTICOS DIARIOS EN PESOS</t>
  </si>
  <si>
    <t>Viáticos diarios en pesos</t>
  </si>
  <si>
    <t>Hasta $0 a $1.228.413</t>
  </si>
  <si>
    <t>Hasta</t>
  </si>
  <si>
    <t>De $1.228.414 a $1.930.333</t>
  </si>
  <si>
    <t xml:space="preserve">De  $1.930.334 a $2.577.679 </t>
  </si>
  <si>
    <t>De  $2.577.680 a $3.269.437</t>
  </si>
  <si>
    <t>De  $3.269.438 a $3.948.523</t>
  </si>
  <si>
    <t>De  $3.948.524 a $5.954.970</t>
  </si>
  <si>
    <t>De  $5.954.971 a $8.322.997</t>
  </si>
  <si>
    <t>De  $8.322.998 a $9.882.403</t>
  </si>
  <si>
    <t>De  $9.882.404 a12.165.606</t>
  </si>
  <si>
    <t>De $12.165.607 a $14.710.550</t>
  </si>
  <si>
    <t>De $14.710.551  en adelante</t>
  </si>
  <si>
    <t>Fuente: Valores referencia obtenidos del Decreto No.979 DE 2021 "Por el cual se fijan las escalas de viáticos</t>
  </si>
  <si>
    <t>"https://www.funcionpublica.gov.co/eva/gestornormativo/norma.php?i=169099</t>
  </si>
  <si>
    <t>c. Tiquetes Nacionales aéreos</t>
  </si>
  <si>
    <t>Bogota- Monteria</t>
  </si>
  <si>
    <t>Bogota_ Ibague</t>
  </si>
  <si>
    <t>Bogotá- Valledupar</t>
  </si>
  <si>
    <t>Bogotá- Villavicencio</t>
  </si>
  <si>
    <t>Valor promedio ida y regreso</t>
  </si>
  <si>
    <t>Valor promedio ida y regreso. Despegar 3 de maroz 2022</t>
  </si>
  <si>
    <t xml:space="preserve">Nota: Corresponde a un valor promedio simple  del costo de vuelos de rutas nacionales. </t>
  </si>
  <si>
    <t>d. Valor dado al desplazamiento Terrestre por persona/promedio ( 2 dias)</t>
  </si>
  <si>
    <t>Combustible</t>
  </si>
  <si>
    <t>Criterio de Cálculo</t>
  </si>
  <si>
    <t>Galón de gasolina</t>
  </si>
  <si>
    <t>Km por Galón</t>
  </si>
  <si>
    <t>35 km por galón</t>
  </si>
  <si>
    <t>Combustible Región 2. Intermedia /Recorre 100 km diario por 20 dias)</t>
  </si>
  <si>
    <t>2000 km mensuales</t>
  </si>
  <si>
    <t>Combustible Región 3. Lejana/ Recorre 200 km diarios por 20 dias.</t>
  </si>
  <si>
    <t>4000 km mensuales</t>
  </si>
  <si>
    <t>Valor aprox Combustible</t>
  </si>
  <si>
    <t>Aproximación a número mayor</t>
  </si>
  <si>
    <t>El rubro de combustible se utiliza el valor promedio hallado, es decir $800.000</t>
  </si>
  <si>
    <t>Peaje promedio mensual</t>
  </si>
  <si>
    <t>Aprox mayor valor</t>
  </si>
  <si>
    <t>Valor peaje promedio 12.000 y se estima dos peajes diarios</t>
  </si>
  <si>
    <t xml:space="preserve">Nota: Corresponde a un valor global simple  del costo promedio de peajes entre las subregiones. </t>
  </si>
  <si>
    <t>e. Rodamiento</t>
  </si>
  <si>
    <t>Peajes</t>
  </si>
  <si>
    <t xml:space="preserve">f. Apoyos tecnológicos y herramientas de diagnóstico </t>
  </si>
  <si>
    <t>Alquiler GPS</t>
  </si>
  <si>
    <t>Alquiler Tablet</t>
  </si>
  <si>
    <t>Barreno</t>
  </si>
  <si>
    <t>Medidor de pH</t>
  </si>
  <si>
    <t>Otros</t>
  </si>
  <si>
    <t>Nota: Valor promedio precio alquiler marzo 2022</t>
  </si>
  <si>
    <t>g. Tiquetes internacionales</t>
  </si>
  <si>
    <t>Países De referencia</t>
  </si>
  <si>
    <t>Valor tiquetes</t>
  </si>
  <si>
    <t>Brasil- Sao Paulo-</t>
  </si>
  <si>
    <t>Mexico</t>
  </si>
  <si>
    <t>Argentina</t>
  </si>
  <si>
    <t>Estados Unidos- Chicago</t>
  </si>
  <si>
    <t>3/03/2022, fuente Despegar.</t>
  </si>
  <si>
    <t xml:space="preserve">Nota: Corresponde a un valor promedio simple del costo de vuelos  directos a dichos destinos. </t>
  </si>
  <si>
    <t>Regiones</t>
  </si>
  <si>
    <t>Subregiones</t>
  </si>
  <si>
    <t>Macroregiones técnificadas</t>
  </si>
  <si>
    <t>Nota. En concordancia  la regionalización de maiz.</t>
  </si>
  <si>
    <t>Regiones Maiceras</t>
  </si>
  <si>
    <t>Amazonia - AZ</t>
  </si>
  <si>
    <t>Caribe Húmedo - CH</t>
  </si>
  <si>
    <t>Caribe Seco - CS</t>
  </si>
  <si>
    <t>Costa Pacifica - CP</t>
  </si>
  <si>
    <t>Ladera - LA</t>
  </si>
  <si>
    <t>Orinoquia - OR</t>
  </si>
  <si>
    <t>Valles Interandinos - VI</t>
  </si>
  <si>
    <t>% Participación del Sistema Técnificado por subregión</t>
  </si>
  <si>
    <t>Participación sistema tecnificado</t>
  </si>
  <si>
    <t>VI - Valle del Cauca</t>
  </si>
  <si>
    <t>LA - Valle Occidente</t>
  </si>
  <si>
    <t>LA - Tolima Huila</t>
  </si>
  <si>
    <t>VI - Alto Magdalena</t>
  </si>
  <si>
    <t>OR - Sabánas (Altillanura)</t>
  </si>
  <si>
    <t>OR - Piedemonte</t>
  </si>
  <si>
    <t>CH - Sinú</t>
  </si>
  <si>
    <t>LA - Eje Cafetero</t>
  </si>
  <si>
    <t>AZ - Piedemonte amazonico</t>
  </si>
  <si>
    <t>CS - Interior</t>
  </si>
  <si>
    <t>VI - Magdalena Medio</t>
  </si>
  <si>
    <t>LA - Macizo Colombiano</t>
  </si>
  <si>
    <t>CH - Sabánas</t>
  </si>
  <si>
    <t>CH - Bajo cauca</t>
  </si>
  <si>
    <t>CS - Litoral</t>
  </si>
  <si>
    <t>LA - Cundinamarca, Boyacá, Santanderes</t>
  </si>
  <si>
    <t>AZ - Amazonía Guaviare</t>
  </si>
  <si>
    <t>AZ - Llanura Amazonica</t>
  </si>
  <si>
    <t>Costo Pacifica</t>
  </si>
  <si>
    <t>No se cuentan con datos coherentes</t>
  </si>
  <si>
    <t>Sub Regiones Maiceras Tecnificadas (&gt; 30% de producción tenificada)</t>
  </si>
  <si>
    <t>Tomado del documento de Regionalización. UPRA 2021</t>
  </si>
  <si>
    <t xml:space="preserve">Macro regiones tecnificadas </t>
  </si>
  <si>
    <t>Subregiones Maiceras</t>
  </si>
  <si>
    <t>Produccion toneladas</t>
  </si>
  <si>
    <t xml:space="preserve">Macro regiones técnificadas </t>
  </si>
  <si>
    <t>4 - VALLE</t>
  </si>
  <si>
    <t>2 - TOLIMA</t>
  </si>
  <si>
    <t>1 - COSTA</t>
  </si>
  <si>
    <t>3 - LLANOS</t>
  </si>
  <si>
    <t>Regiones Maiceras Mayores Agregadas Tecnificadas</t>
  </si>
  <si>
    <t>Cálculos Propios Experto</t>
  </si>
  <si>
    <t>% Producción Tradicional según región maicera</t>
  </si>
  <si>
    <t>Costa Pacifica</t>
  </si>
  <si>
    <t>Sub Regiones Maiceras Tradicionales (&gt; 5% de producción tradicional)</t>
  </si>
  <si>
    <t>3. Actividades Grupales</t>
  </si>
  <si>
    <t>a. Mesas de trabajo</t>
  </si>
  <si>
    <t>e. Mesas de trabajo virtual</t>
  </si>
  <si>
    <t>f. Talleres y/o eventos de divulgación nacional y/o regional virtuales</t>
  </si>
  <si>
    <t>i. Eventos Gestión y divulgación Nacional y/o Regional virtuales</t>
  </si>
  <si>
    <t>Nota: Las mesas ,eventos y talleres virtuales corresponden al 20% del valor estimado de forma presencial</t>
  </si>
  <si>
    <t>(Se calculan mesas de trabajo de 20 personas)</t>
  </si>
  <si>
    <t>Refrigerio</t>
  </si>
  <si>
    <t>Café y otros</t>
  </si>
  <si>
    <t>Costo estimado</t>
  </si>
  <si>
    <t>b. Talleres y/ o eventos de divulgación nacionales y/o regionales (Productor, transformador, comercialización)</t>
  </si>
  <si>
    <t>Se calcula asistencia 40 personas</t>
  </si>
  <si>
    <t>Auditorio</t>
  </si>
  <si>
    <t>Estación de café y otros</t>
  </si>
  <si>
    <t>Material de divulgación y promocional</t>
  </si>
  <si>
    <t>Protocolos de bioseguridad</t>
  </si>
  <si>
    <t>Talleres Nacionales</t>
  </si>
  <si>
    <t>Nota: Auditorio incluye video beam. 40 personas</t>
  </si>
  <si>
    <t>c. Mesas de trabajo</t>
  </si>
  <si>
    <t>Nota: Auditorio incluye video beam</t>
  </si>
  <si>
    <t>c. Escuelas, dias de campo, giras técnicas,  y/ o visitas,  (Productor, transformador, comercialización)</t>
  </si>
  <si>
    <t>Se calcula asistencia 20 personas</t>
  </si>
  <si>
    <t>Refrigerio e hidratación</t>
  </si>
  <si>
    <t>Almuerzo</t>
  </si>
  <si>
    <t>Materia de divulgación y promocional</t>
  </si>
  <si>
    <t>Apoyos tecnológicos y herramientas de diagnóstico</t>
  </si>
  <si>
    <t>Protocolo de bioseguridad</t>
  </si>
  <si>
    <t>Desplazamiento personas/transporte</t>
  </si>
  <si>
    <t>Se estima que las personas provean sus propios medios para llegar a los puntos de encuentro</t>
  </si>
  <si>
    <t xml:space="preserve"> Protocolo bioseguridad :Insumos/ lavado de botas/manos, tapabocas.</t>
  </si>
  <si>
    <t xml:space="preserve">d. Parcelas demostrativas o lotes modelos </t>
  </si>
  <si>
    <t xml:space="preserve"> (1ha por semestre)</t>
  </si>
  <si>
    <t>Semillas</t>
  </si>
  <si>
    <t>Abonos</t>
  </si>
  <si>
    <t>Fitosanitarios</t>
  </si>
  <si>
    <t>Labores</t>
  </si>
  <si>
    <t>Análisis de laboratorios</t>
  </si>
  <si>
    <t xml:space="preserve">h. Taller Práctico </t>
  </si>
  <si>
    <t>Salones para prácticas</t>
  </si>
  <si>
    <t>Capacitador (Viáticos y/o honorarios jornada)</t>
  </si>
  <si>
    <t>Insumos/materia prima y consumibles</t>
  </si>
  <si>
    <t>imprevistos</t>
  </si>
  <si>
    <t>Medidas de bioseguridad</t>
  </si>
  <si>
    <t xml:space="preserve">4. Tasa de cambio </t>
  </si>
  <si>
    <t>a. Tasa de cambio</t>
  </si>
  <si>
    <t>Pesos por Dólar</t>
  </si>
  <si>
    <t>Pesos Por Euro</t>
  </si>
  <si>
    <t xml:space="preserve">Promedio simple del período contemplado </t>
  </si>
  <si>
    <t xml:space="preserve"> Promedio simple anual para los años 2020 y 2021</t>
  </si>
  <si>
    <t>5. Promoción y Comunicación</t>
  </si>
  <si>
    <t>Ítem</t>
  </si>
  <si>
    <t>a. Sección radial nacionales</t>
  </si>
  <si>
    <t>b. Sección Radial Regionales</t>
  </si>
  <si>
    <t>c. Vallas publicitarias Ciudades Principales</t>
  </si>
  <si>
    <t>d. Vallas publicitarias Ciudades regionales</t>
  </si>
  <si>
    <t>e. Comerciales  tv a nivel Nacional</t>
  </si>
  <si>
    <t>f. Comerciales tv a nivel regional</t>
  </si>
  <si>
    <t>g. Pendones</t>
  </si>
  <si>
    <t>h. Campaña publicitaria nacional</t>
  </si>
  <si>
    <t>i. Campaña publicitaria regional</t>
  </si>
  <si>
    <t>j. Campaña publicitaria institucional</t>
  </si>
  <si>
    <t>l. Stand de promoción y divulgación en eventos nacionales</t>
  </si>
  <si>
    <t>m. Stand de promoción y divulgación en eventos regionales</t>
  </si>
  <si>
    <t>a. Sección radiales nacionales</t>
  </si>
  <si>
    <t>Noticiero mediodía</t>
  </si>
  <si>
    <t>Noticiero 10 am</t>
  </si>
  <si>
    <t>Noticiero 6 am</t>
  </si>
  <si>
    <t>Fuente: Basada en cotizaciones de ventas@caracol.com.co, 3 de marzo 2022, https://mediakit.caracol.com.co/buscar.aspx?q=caracol</t>
  </si>
  <si>
    <t>b. Cuña Radiales Regionales (Promedio aprox)</t>
  </si>
  <si>
    <t>Rubro</t>
  </si>
  <si>
    <t>Cuña radial regional  Monteria, Sincelejo</t>
  </si>
  <si>
    <t>Cuña radial regional región 2 (Ibagué)</t>
  </si>
  <si>
    <t>Cuñas radiales regionales (Promedio aprox)</t>
  </si>
  <si>
    <t>Vallas Publicitarias</t>
  </si>
  <si>
    <t>c. Vallas Publicitarias Nacional</t>
  </si>
  <si>
    <t>d. Vallas Publicitarias Regionales</t>
  </si>
  <si>
    <t>Incluye el costo de diseño, elaboración y alquiler del sitio de publicación de la valla. Fuente. Dato experto</t>
  </si>
  <si>
    <t>Comerciales tv</t>
  </si>
  <si>
    <t>Nota. Fuente comerciales tv nacional y regional, experto.</t>
  </si>
  <si>
    <t>Pendones</t>
  </si>
  <si>
    <t>Corresponde a un conjunto de pendones</t>
  </si>
  <si>
    <t>h. Campaña Publicitaria Nacional</t>
  </si>
  <si>
    <t>Equipo organizador</t>
  </si>
  <si>
    <t>Impresos</t>
  </si>
  <si>
    <t>Secciones  radiales nacionales</t>
  </si>
  <si>
    <t>Comerciales tv nivel nacional</t>
  </si>
  <si>
    <t>Total campaña publicitaria Nacional</t>
  </si>
  <si>
    <t>Nota: Se estima 1 meses de duración</t>
  </si>
  <si>
    <t>redondeo</t>
  </si>
  <si>
    <t xml:space="preserve">i. Campañas Publicitarias Regionales </t>
  </si>
  <si>
    <t>Cuñas radiales regionales</t>
  </si>
  <si>
    <t>Comerciales tv a nivel regional</t>
  </si>
  <si>
    <t>Vallas publicitarias</t>
  </si>
  <si>
    <t>Total Campaña publicitaria Regional</t>
  </si>
  <si>
    <t>Se estima 1 mes de duración</t>
  </si>
  <si>
    <t>j. Campaña publicitaria institucional ( Nacional)</t>
  </si>
  <si>
    <t>Sección radiales nacionales</t>
  </si>
  <si>
    <t>Comerciales tv nacional</t>
  </si>
  <si>
    <t>Vallas nacionales</t>
  </si>
  <si>
    <t>Elementos de promoción y divulgación</t>
  </si>
  <si>
    <t>Total campaña publicitaria institucional</t>
  </si>
  <si>
    <t xml:space="preserve">Se estima 1 mes de duración </t>
  </si>
  <si>
    <t>k. Campaña publicitaria institucional (Regional)</t>
  </si>
  <si>
    <t>Paquete Cuñas radiales regionales</t>
  </si>
  <si>
    <t>Vallas regionales</t>
  </si>
  <si>
    <t xml:space="preserve">l. Stand Institucional </t>
  </si>
  <si>
    <t>k. Stand promoción Nacional</t>
  </si>
  <si>
    <t>l. Stand promoción regional</t>
  </si>
  <si>
    <t>Incluye diseño, mobiliario y  alquiler del espacio. Fuente Experto.</t>
  </si>
  <si>
    <t>m. Plan de Medios radial Nacional</t>
  </si>
  <si>
    <t>Ítems</t>
  </si>
  <si>
    <t>Paquete cuñas radiales nacionales</t>
  </si>
  <si>
    <t>Plan de medios Nacional</t>
  </si>
  <si>
    <t>n. Plan de Medios radial regional</t>
  </si>
  <si>
    <t>ñ. Plan de Medios radial Institucional</t>
  </si>
  <si>
    <t>6. Comercialización</t>
  </si>
  <si>
    <t>e. Mercados campesinos/circuitos cortos comercialización</t>
  </si>
  <si>
    <t>a. Rueda de negocio nacional y regional presencial</t>
  </si>
  <si>
    <t>Persona locales ( tiquete, hospedaje)</t>
  </si>
  <si>
    <t>Montaje</t>
  </si>
  <si>
    <t>Almuerzos</t>
  </si>
  <si>
    <t>Inscripciones</t>
  </si>
  <si>
    <t>Estación de café y agua</t>
  </si>
  <si>
    <t>Promoción y divulgación</t>
  </si>
  <si>
    <t xml:space="preserve">Rueda de negocio </t>
  </si>
  <si>
    <t>Se supone que la duración de la rueda son dos días, una noche. (30 asistentes)</t>
  </si>
  <si>
    <t>b Rueda de negocio  virtual</t>
  </si>
  <si>
    <t>Promoción y comunicación</t>
  </si>
  <si>
    <t xml:space="preserve">c. Participación en ferias comerciales </t>
  </si>
  <si>
    <t>Persona locales ( tiquete, hospedaje, viáticos)</t>
  </si>
  <si>
    <t>Stand  (5)</t>
  </si>
  <si>
    <t xml:space="preserve">Participación en ferias comerciales </t>
  </si>
  <si>
    <t>se estima la participación de 5 empresas o personas a la feria</t>
  </si>
  <si>
    <t>d. Participación en ferias comerciales internacionales</t>
  </si>
  <si>
    <t>Persona  ( tiquete)</t>
  </si>
  <si>
    <t xml:space="preserve">Stand </t>
  </si>
  <si>
    <t>Aprox</t>
  </si>
  <si>
    <t>se estima la participación de 5 empresas a la feria internacional, no incluye el hospedaje</t>
  </si>
  <si>
    <t>7. Capacitación, Formación y educación</t>
  </si>
  <si>
    <t xml:space="preserve"> a. Cursos cortos</t>
  </si>
  <si>
    <t>Se estima que un capacitador cobre 300.000 por cada persona capacitada, se estima un promedio de 30 personas por curso corto. Incluye refrigerio, material de divulgación, auditorio.</t>
  </si>
  <si>
    <t>b. Cursos cortos virtuales</t>
  </si>
  <si>
    <t>Se estima honorarios de capacitador, medios para realizarla. Se calculó como un 30% del valor del cursos corto presencial.</t>
  </si>
  <si>
    <t>c. Cursos libres</t>
  </si>
  <si>
    <t>Valor persona capacitada</t>
  </si>
  <si>
    <t>d. Cursos libres virtuales</t>
  </si>
  <si>
    <t>Valor persona capacitada, se calculo como un 30% del valor del curso libre presencial.</t>
  </si>
  <si>
    <t>e. Diplomado</t>
  </si>
  <si>
    <t>f. Diplomado virtual</t>
  </si>
  <si>
    <t>Valor persona capacitada, se calculo como un 30% del valor del  diplomado  presencial.</t>
  </si>
  <si>
    <t>g. Formación tecnológica y/o universitaria</t>
  </si>
  <si>
    <t>h. Maestría</t>
  </si>
  <si>
    <t>Valor persona capacitada/ semestre</t>
  </si>
  <si>
    <t>i. Doctorado</t>
  </si>
  <si>
    <t>Fuente: Experto
Nota: El valor estimado corresponde al apoyo asignado para educación, ítems d, e f.</t>
  </si>
  <si>
    <t xml:space="preserve">8. Certificaciones </t>
  </si>
  <si>
    <t>a. Certificaciones diferenciadoras</t>
  </si>
  <si>
    <t>Consultoría</t>
  </si>
  <si>
    <t>Costo Certificaciones diferenciadores</t>
  </si>
  <si>
    <t>Total costo certificaciones</t>
  </si>
  <si>
    <t>Fuente. Bureau Veritas</t>
  </si>
  <si>
    <t>9. Laboratorios de control de calidad</t>
  </si>
  <si>
    <t>Observaciones</t>
  </si>
  <si>
    <t>Fuente</t>
  </si>
  <si>
    <t>a. Análisis de suelo y elementos disponibles en la solución del suelo</t>
  </si>
  <si>
    <t>Agrilab</t>
  </si>
  <si>
    <t xml:space="preserve">b.  Análisis de calidad del grano -  Grado </t>
  </si>
  <si>
    <t>Clasificacion grano maiz consumo NTC 366</t>
  </si>
  <si>
    <t>Enzipan</t>
  </si>
  <si>
    <t xml:space="preserve">c. Analisis de Inocuidad del grano - Aflatoxinas Totales semicuantitativo </t>
  </si>
  <si>
    <t>KIT</t>
  </si>
  <si>
    <t>10 . Infraestructura</t>
  </si>
  <si>
    <t>Solución Individual para pequeño productor</t>
  </si>
  <si>
    <t>Instalación de secamiento y aquipos de almacenamiento en silobolsa (No incluye la bolsa)</t>
  </si>
  <si>
    <t>Pequeño productor (10 has con producción de 60 ton semestre, 120 año).Secamiento en albercas</t>
  </si>
  <si>
    <t>Mediano productor (Modelo para 38 productores con 28 has cada uno 1064 has, obteniendo 7400 ton por semestre) Capacidad de secamiento 200 ton dia. Secamiento en torre de flujo continuo</t>
  </si>
  <si>
    <t>Gran  productor (Modelo para 34 productores con 60 has cada uno 2044 has, obteniendo 16250 ton por semestre) Capacidad de secamiento 500 ton dia. Secamiento en torre de flujo continuo</t>
  </si>
  <si>
    <t>Tomado del documento "Caracterización y Evaluación de Alternativas Tecnológicas de Secamiento y Almacenamiento de Maíz  a Implementar en Colombia". 2014</t>
  </si>
  <si>
    <t>https://repositorio.unal.edu.co/bitstream/handle/unal/52670/29671914-Gloria.pdf?sequence=1</t>
  </si>
  <si>
    <t>Solución para esquemas asociativos</t>
  </si>
  <si>
    <t>Instalación de secamiento y almacenamiento integrada con silos metalicos</t>
  </si>
  <si>
    <t>Proyecto Fincas -  1000 TM - Atiende a 450 Has ( para 4 a 8 agricultores de 50 a 100 Has)</t>
  </si>
  <si>
    <t>Proyecto Asociativo Pequeños - 3000 TM - Atiende a 1300 Has(10 a 20 agricultores de 60 a 130 Has)</t>
  </si>
  <si>
    <t>Proyecto Asociativo Medianos - 9000 TM - Atiende a 4000 Has (20 a 30 Agricultores de 130 a 200 Has)</t>
  </si>
  <si>
    <t>Proyecto Asociativo Grandes - 27000 TM - Atiende a 12000 Has(20 a 30 agricultores de 400 a 600 has)</t>
  </si>
  <si>
    <t>US$ 300 / tonelada de capacidad instalada. Concepto de expertos INVEIN - Keppler Weber</t>
  </si>
  <si>
    <t>Basculas camioneras</t>
  </si>
  <si>
    <t xml:space="preserve">Obra civil </t>
  </si>
  <si>
    <t>Báscula Digital 80 Ton</t>
  </si>
  <si>
    <t>Ricardo Garcia 3116453265 Prometalicos</t>
  </si>
  <si>
    <t>Infraestructura en procesamiento de maiz</t>
  </si>
  <si>
    <t>Trilladora Pequeña 50 k</t>
  </si>
  <si>
    <t>Trilladora Mediana 100 kilos</t>
  </si>
  <si>
    <t>Trilladora Grande 200 kilos</t>
  </si>
  <si>
    <t>Cotizacion Fabricantes Bucaramanga</t>
  </si>
  <si>
    <t>Planta para secamiento, almacenamiento y producción de harinas precocidas</t>
  </si>
  <si>
    <t>Planta de transformación con capacidad instalada para la producción de 12.000 toneladas al año. Infraestructura de Recibo, secado y almacenado (capacidad de secamiento de 45 ton/h y capacidad de almacenamiento de 4 silos de 3000 m3 y 6 silos de 1500 m3). Subestación eléctrica 400 kva</t>
  </si>
  <si>
    <t>Terreno (5 hectáreas) Obras Civiles Adecuación oficina</t>
  </si>
  <si>
    <t xml:space="preserve">Tomado del documento PLA DE NEGOCIOS - PRODUCCIÓN DE HARINAS PRECOCIDAS DE MAÍZ - FENALCE - STARCO - 2007. Incrementados en 70%
</t>
  </si>
  <si>
    <t xml:space="preserve">10 . Incentivos </t>
  </si>
  <si>
    <t xml:space="preserve">Incentivo comisión FAG contratos 1.1 </t>
  </si>
  <si>
    <t>Has promedio de maiz  tecnificado año</t>
  </si>
  <si>
    <t>Productividad ( ton por ha)</t>
  </si>
  <si>
    <t>Toneladas de maiz</t>
  </si>
  <si>
    <t>20% producción con suscripción de contratos</t>
  </si>
  <si>
    <t>Valor comercial de una tonelada de maíz</t>
  </si>
  <si>
    <t>Valor contratos</t>
  </si>
  <si>
    <t>comisión FAG</t>
  </si>
  <si>
    <t>Registro BMC vendedor</t>
  </si>
  <si>
    <t>Costos garantia  FAG  y registro BMC de contratos forward sin administración de garantías</t>
  </si>
  <si>
    <t>Incentivo Valor Agregado  1.2</t>
  </si>
  <si>
    <t xml:space="preserve">UVT (Unidad de Valor Tributario- DIAN 2022) </t>
  </si>
  <si>
    <t>Empresas Manufactureras</t>
  </si>
  <si>
    <t>Clasificación DIAN</t>
  </si>
  <si>
    <t>Valor de los ingresos</t>
  </si>
  <si>
    <t>%  estimado para valor agregado</t>
  </si>
  <si>
    <t>Valor estimado</t>
  </si>
  <si>
    <t xml:space="preserve">% Estimado para apoyo valor agregado </t>
  </si>
  <si>
    <t>Incentivo</t>
  </si>
  <si>
    <t xml:space="preserve">Microempresas </t>
  </si>
  <si>
    <t>Pequeñas Empresas</t>
  </si>
  <si>
    <t>Medianas Empresas</t>
  </si>
  <si>
    <t xml:space="preserve">ICR Compra cal dolomita  has de maiz 2.1 </t>
  </si>
  <si>
    <t>ha / año</t>
  </si>
  <si>
    <t>ton / ha</t>
  </si>
  <si>
    <t>ton / año</t>
  </si>
  <si>
    <t>Has año maiz</t>
  </si>
  <si>
    <t>Valor Cal $ / ton</t>
  </si>
  <si>
    <t>Valor Estimado crédito</t>
  </si>
  <si>
    <t>LEC Maquinaria- 2.1</t>
  </si>
  <si>
    <t>Has  a intervenir</t>
  </si>
  <si>
    <t>Cada kit de maquinaia para 400 has</t>
  </si>
  <si>
    <t>Total Kits</t>
  </si>
  <si>
    <t xml:space="preserve">Maquinaria Proyecto 2.1 </t>
  </si>
  <si>
    <t>Tractores siembra 190  hp</t>
  </si>
  <si>
    <t>Sembradora- abonadora 12 lineas ( 50 cmts) Neumática, con tasa variable</t>
  </si>
  <si>
    <t>Implementos  de labranza (desborsadoras, arados de cincel, escarificadores)</t>
  </si>
  <si>
    <t>Abonadora  autopropulzada</t>
  </si>
  <si>
    <t>Pulverizadoras autopropulzada</t>
  </si>
  <si>
    <t>Cosechadoras /(230.240hp). Con monitor de rendimiento</t>
  </si>
  <si>
    <t>Cabezal maicero</t>
  </si>
  <si>
    <t xml:space="preserve">Tolvas Graneleras </t>
  </si>
  <si>
    <t>Total Kit</t>
  </si>
  <si>
    <t>Fuente: Soya Maiz- Proyecto pais. 2021</t>
  </si>
  <si>
    <t>Proyecto 3.1 Capital de trabajo para comercialización  o procesamiento</t>
  </si>
  <si>
    <t>Valor promedio tonelada de maiz en el mercado</t>
  </si>
  <si>
    <t xml:space="preserve">Cantidad  a comercializar por una asociación </t>
  </si>
  <si>
    <t>Valor 500 toneladas de maíz</t>
  </si>
  <si>
    <t>Cantidad de creditos</t>
  </si>
  <si>
    <t>Incentivo ICR para el montaje de plantas de secamiento y almacenamiento 3.3</t>
  </si>
  <si>
    <t>Meta Prospectiva de capacidad instalada de secamiento y almacenamiento ton</t>
  </si>
  <si>
    <t>Período ( 19 años)</t>
  </si>
  <si>
    <t>Capaciadad instalada requerida por año</t>
  </si>
  <si>
    <t xml:space="preserve">Fuente. Dato experto </t>
  </si>
  <si>
    <t>Descrpcion</t>
  </si>
  <si>
    <t>Capacidad total de almacenamiento
TM</t>
  </si>
  <si>
    <t># de silos</t>
  </si>
  <si>
    <t>Capacidad por silo
TM</t>
  </si>
  <si>
    <t>Capacidad Torre de Secamiento
TM / Dia</t>
  </si>
  <si>
    <t>Cantidad almacenada / Cosechada</t>
  </si>
  <si>
    <t>Rendimiento regional 
Ton / Ha</t>
  </si>
  <si>
    <t>Hectareas atendidas</t>
  </si>
  <si>
    <r>
      <t xml:space="preserve">Producto </t>
    </r>
    <r>
      <rPr>
        <b/>
        <sz val="11"/>
        <color rgb="FF0070C0"/>
        <rFont val="Arial"/>
        <family val="2"/>
      </rPr>
      <t xml:space="preserve">Procesado </t>
    </r>
    <r>
      <rPr>
        <sz val="11"/>
        <color theme="1"/>
        <rFont val="Arial"/>
        <family val="2"/>
      </rPr>
      <t>Ton</t>
    </r>
  </si>
  <si>
    <t>Valor total de la planta UUSD)</t>
  </si>
  <si>
    <t>Valor unitario USD/ton</t>
  </si>
  <si>
    <t>Valor unitario en pesos por tonelada</t>
  </si>
  <si>
    <t>Distribución cantidad almacenada por tipo de proyecto</t>
  </si>
  <si>
    <t>Proyecto Finqueros 
(para 4 a 8 agricultores de 50 a 100 Has)</t>
  </si>
  <si>
    <t>Proyecto Asociativo Pequeños 
(10 a 20 agricultores de 60 a 130 Has)</t>
  </si>
  <si>
    <t>Proyecto Asociativo Medianos
(20 a 30 Agricultores de 130 a 200 Has)</t>
  </si>
  <si>
    <t>Proyecto Asociativo Grandes 
(20 a 30 agricultores de 400 a 600 has)</t>
  </si>
  <si>
    <t>Equipos e infraestructura requerida para el montaje de una planta de Poscosecha de acuerdo a su capacidad</t>
  </si>
  <si>
    <t>35 Ton/dia</t>
  </si>
  <si>
    <t>100 Ton/dia</t>
  </si>
  <si>
    <t>300 Ton/dia</t>
  </si>
  <si>
    <t>600 Ton/dia</t>
  </si>
  <si>
    <t>Equipos de Importacion</t>
  </si>
  <si>
    <t>Equipos Nacionales</t>
  </si>
  <si>
    <t xml:space="preserve">Importacion </t>
  </si>
  <si>
    <t>Obra Civil</t>
  </si>
  <si>
    <t>Electrico</t>
  </si>
  <si>
    <t>Vr. TOTAL</t>
  </si>
  <si>
    <t>Promoción  al emprendimiento P. 3.3 , 3.4, 3.5, 8.1</t>
  </si>
  <si>
    <t xml:space="preserve">%  estimado para formalización </t>
  </si>
  <si>
    <t xml:space="preserve">Valor estimado para formalización </t>
  </si>
  <si>
    <t xml:space="preserve">% Estimado para formalización </t>
  </si>
  <si>
    <t xml:space="preserve">4.2. LEC adecuación de tierras para uso agropecuario </t>
  </si>
  <si>
    <t>Has de maiz</t>
  </si>
  <si>
    <t>Con crédito para adecuación de tierras</t>
  </si>
  <si>
    <t>has sujeto de credito</t>
  </si>
  <si>
    <t>$ / Ha</t>
  </si>
  <si>
    <t>Incentivo (tecnologías limpias) 5.1</t>
  </si>
  <si>
    <t xml:space="preserve">%  estimado para  nuevas empresas </t>
  </si>
  <si>
    <t>Valor estimado para nuevas empresas</t>
  </si>
  <si>
    <t>% Estimado para apoyo por tipo de empresa</t>
  </si>
  <si>
    <t>Incentivo/crédito</t>
  </si>
  <si>
    <t>Incentivo vivienda P.6.1</t>
  </si>
  <si>
    <t>Valor vivienda rural</t>
  </si>
  <si>
    <t>% cuota inicial</t>
  </si>
  <si>
    <t>Valor global subsidiado</t>
  </si>
  <si>
    <t>Valor promedio servicios públicos hogar P.6.1</t>
  </si>
  <si>
    <t>Incentivo servicios públicos</t>
  </si>
  <si>
    <t>Incentivo a las TICs 6.1 y 6.2</t>
  </si>
  <si>
    <t>Valor Tablet</t>
  </si>
  <si>
    <t>Incentivo conectividad 6.1</t>
  </si>
  <si>
    <t>Valor pago servicio internet anual</t>
  </si>
  <si>
    <t xml:space="preserve">Incentivo a las Unidades Productoras  6.3 </t>
  </si>
  <si>
    <t>Preparación de suelo y encalado</t>
  </si>
  <si>
    <t>Semillas hibrida</t>
  </si>
  <si>
    <t xml:space="preserve">Asistencia técnica para unidades productoras sistema tecnificado 6.3 </t>
  </si>
  <si>
    <t>Promedio UPA Maiz Tradicional</t>
  </si>
  <si>
    <t>Persona requerido por UPA</t>
  </si>
  <si>
    <t xml:space="preserve">Costo Persona por UPA </t>
  </si>
  <si>
    <t>Costo persona 8 Meses</t>
  </si>
  <si>
    <t>Has Maiz Tradicional</t>
  </si>
  <si>
    <t>Has asistidas por UPA promedio</t>
  </si>
  <si>
    <t>Promoción  al emprendimiento P. 6.4</t>
  </si>
  <si>
    <t>Incentivo Modular. Proyecto 5</t>
  </si>
  <si>
    <t xml:space="preserve">Valor costo ha de tierra 7.2 </t>
  </si>
  <si>
    <t>has</t>
  </si>
  <si>
    <t>Incentivo a la formalización de la tierra pequeños</t>
  </si>
  <si>
    <t>Se estima un 5% para documentos</t>
  </si>
  <si>
    <t>Se estiman 6 mesas de trabajo presencial y 6 virtuales (una por mes), pago de plataformas de información. Se supone la intervención a 10 subregiones porque  tienen más del 30% en producción de maíz tecnificado, se estiman 20 talleres y/o eventos de divulgación nacionales y/o regionales presenciales y 20 virtuales,  se supone la intervención en solo 4 regiones  mayores de acuerdo a la importancia actual y potencial en el mercado, 10 ruedas de negocios presenciales y 10 ruedas de negocios virtuales. Se estima 10 cursos cortos por subregión a intervenir presencial y 10 cursos cortos virtuales,  4 campañas institucionales por área a intervenir, cursos libres virtuales, para 10 personas por región, ruedas de negocios presenciales y virtuales por subregión,  2 ferias comerciales por región a intervenir. Se estima un equipo humano  de 5 personas compartido para los proyectos 1.1 y 1.2 con un salario promedio mensual de $7.862.772 por 12 meses, se estima 8 desplazamientos  con sus tiquetes y viáticos. Se estima equipo de trabajo, rodamiento, y apoyos tecnológicos en las 4 regiones a intervenir. Se sugiere la creación de un incentivo para el pago de la comisión Fag de contratos de suministro, la cual se calculó para una producción anual de 54.000 toneladas de maíz, derivadas de las 30.000 has nuevas sembradas durante los 20 años del desarrollo del POP. Se supuso un valor por tonelada de maíz de 1.000.000 por tonelada,  y se estimó que el porcentaje de comisión del FAG es del 3.75% y el registro en la BMC del vendedor es de 0.04% del valor de la negociación, lo que arroja un valor de $37.900 por tonelada de maíz registrada en la BMC, valor que se estima sea asumido por el estado  durante los cinco primeros años .  Se deja por definir  otras formas de aumento.</t>
  </si>
  <si>
    <t xml:space="preserve">Se estiman 6 mesas de trabajo presencial y 6 virtuales, pago anual a plataformas de información y base de datos,  se estima 2 visitas de consultores internacionales con tiquetes y viáticos para profundizar sobre temas de mercado en otros países de referencia, se estima la creación de un incentivo al valor agregado para pequeñas y medianas empresas, el cual se calculó teniendo en cuenta el valor de los ingresos de micro y pequeñas empresas, de acuerdo a la clasificación de la Dian, a la cual se le estimó un porcentaje del 10% y 5% del valor anual de los ingresos estimados y a este resultado se le calculó el 10% y el 5%  para hallar un valor de apoyo para la generación de valor agregado para micro y pequeñas empresas de $8.954.883 y $19,476.575 respectivamente, para 8  microempresas  y 4 pequeñas empresas en las regiones a intervenir. Se estimaron 5 talleres y/o eventos de divulgación nacionales y regionales por región a intervenir, tanto presencial como virtual, se estimó la realización de 2 ferias comerciales por región a intervenir, ruedas de negocios presenciales y virtuales por región, se estiman certificaciones diferenciadoras por región a intervenir, campaña publicitaria nacional, campañas publicitarias por región a intervenir, 2 stand de promoción y divulgación por zonas a intervenir, pautas en redes sociales por región, plan de medios radiales a nivel regional, cursos cortos presenciales y virtuales a nivel regional ( 2 por región a intervenir),  se calcula un equipo humano para los proyectos 1.1 y 1.2  a nivel nacional con un salario promedio de $7.862.772 y su desplazamiento a región, se estima también un personal en región con un sueldo promedio de $3.931.384 y rodamiento de $1.300.000 para el desplazamiento en región y apoyos tecnológicos.  Se deja por definir  otros mecanismos de posicionamiento. </t>
  </si>
  <si>
    <t>Se supone la intervención a 10 subregiones porque  tienen más del 30% en producción de maíz tecnificado, que se agrupan en 4 regiones mayores. (Costa, Valle, Tolima y Llanos). Se propone realizar 20 mesas de trabajo presenciales y 20 virtuales, 30 talleres virtuales y 30 talleres presenciales.  Se estima  complementar la capacitación con  10 cursos cortos de capacitación, 10 cursos cortos virtuales. Se estima apoyar con el 50% del costo a 1 persona por subregión a intervenir para la realización de cursos libres y 10 para cursos libres virtuales. Para acceder al oferta de consultoría agronómica y tecnología, para la alta productividad, se realizaran dos veces por año (semestrales),  en las 4 regiones mayores, un total de 8 ruedas de negocio presenciales, 8 ruedas de negocio virtuales, 8 ferias comerciales. Se propone  10 giras técnicas una por subregión a intervenir para conocer experiencias prácticas de sistemas de alta productividad. Se propone la divulgación y promoción de las actividades, mediante planes de medios, pauta en redes sociales, material promocional y de divulgación por subregión intervenir. Se estima implementar 2 lotes modelos por año (semestrales) en las 10 subregiones a  a intevenir. Se estima un apoyo del  50% del costo de la certificación de calidad para 2 plantas productoras de cal dolomita durante los primeros 5 años. Se propone una consultoría técnica especializada para alta productividad a 100 unidades de producción de 20 has por semestre, es decir 4.000 has, con un costo de 90 dólares por ha. Se propone contratar un equipo técnico humano nacional, de foco operativo, de 4 personas para la gestión de las actividades en las cuatro regiones mayores (Costa, Tolima, Valle y Llanos). Se propone contratar 4 profesionales especializados, durante 4 años, con un promedio salarial de $12.894.9491 con especialidad en tema semillas para acción nacional y 3 con especialidad en temas de suelos nutrición para acción en regiones Costa, Valle-Tolima y Llanos. Se propone crear un  incentivo del 40% a la adecuación química de suelos durante los primeros 10 años,  para la siembra de 30.000 has nuevas por año,  con  la aplicación de 5 t/h de Cal dolomita, es decir 150.000 toneladas anuales,  con un costo de $100.000 por tonelada. Para modernizar la  maquinaria, se propone asignar recursos de 30% de ICR durante 10 año para la compra  de 75 kits-núcleos de 400 has de capacidad, es decir para la mecanización de  30.000 has, cuyo costo por kit es de $2.570.750.000 según estudio realizado en la iniciativa Soya Maíz - Proyecto País 2021 . El  cual consta de: tractor de 190 hp, sembradora abonadora de 12 lineas, neumática con tasa variable, implementos de labranza (desborsadora, arados de cincel, escarificadores, abondora autopropulsada, cosechadora combinada de 240 hp de rotor axial con monitor de rendimiento, cabezal maicero y tolvas graneleras. Se propone crear un incentivo a la tasa o ampliar los recursos del LEC, que subsidie el 7.5% del interés del valor del crédito, durante el paríodo 12 al 20 para la compra  de 75 kits-núcleos de 400 has de capacidad, es decir para la mecanización de  30.000 has, cuyo costo por kit es de $2.570.750.000 según estudio realizado en la iniciativa Soya Maíz - Proyecto País 2021 .</t>
  </si>
  <si>
    <t>Se supone la intervención a 10 subregiones porque  tienen más del 30% en producción de maíz tecnificado, que se agrupan en 4 regiones mayores (Costa, Valle, Tolima y Llanos). Se estiman actividades de gestión desde el año 1 al 11. Se estima la realización de mesas de trabajo presenciales y virtuales, a nivel subregional por una parte se trabaja la selección de locaciones adecuadas para planificar la construcción de infraestructura de secamiento y almacenamiento. También explorar sobre el interés en los procesos industriales de transformación y productos derivados. Se sugiere talleres se da capacitación sobre los aspectos técnicos para la instalación de plantas de secamiento y almacenamiento, sobre los procesos de transformación, formulación de planes de negocio  y el desarrollo de empresas con este fin. Igualmente en estos talleres o eventos de divulgación se generan conexiones entre los productores, los comercializadores y las empresas constructoras de plantas industriales. Se sugiere complementar la capacitación con giras técnicas a instalaciones en funcionamiento, cursos cortos, presenciales y virtuales. Los estima procesos de capacitación y acompañamiento para la construcción de infraestructura y constitución de empresas de transformación se realizan durante 10 años. Se estima  la construcción anual de 157,895 toneladas de capacidad instalada de infraestructura de secamiento y almacenamiento, para completar con en 19 años una capacidad de 3.000.000 de toneladas. De esta cantidad se estima que el  10% sea para pequeños productores, es decir 15.789, el 40% para  pequeños productores asociados, es decir 63.158 ton y el 30% restante para medianos productores asociados es decir 47.368  ton, el 20% restante sería para grandes productores, que no serían objeto de incentivo. El costo promedio de esta infraestructura es de USD 974 / ton de capacidad instalada construida por pequeños productores individuales (1000 ton de almacenamiento y 35 ton / día de secamiento), de USD 743 / ton a la construida por pequeños productores asociados (3000 ton de almacenamiento y 100 ton / día de secamiento), y de USD 599 / ton a la construida por medianos productores asociados (9000 ton de almacenamiento y 300 ton / día de secamiento), a lo cual se estima inyectar recursos para apoyar un 20% de ICR para el montaje de plantas de secamiento y almacenamiento.  Se estima incentivos para el emprendimiento de industrias de procesamiento de maíz, a 5 microempresas, a 3 pequeñas empresas y a 1 mediana empresa. El valor del incentivo se calculó teniendo en cuenta el valor de los ingresos de micro, pequeñas y medianas empresas, de acuerdo a la clasificación de la Dian, a la cual se le estimó un porcentaje del 10%, 5% y 3% del valor anual de los ingresos estimados y a este resultado se le calculó el 10%,   5% y 2%  para hallar un valor de apoyo para el emprendimiento por un valor de $8.954.883, $19,476.575 y $39.597.850 respectivamente. Se considera un equipo humano de acción nacional de 2 personas para liderar y coordinar las actividades de capacitación, divulgación y comerciales de los proyecto 3.3 y 3.4 . Se complementa con un equipo humano de acción subregional, con rodamientos y apoyos tecnológicos, para las actividades de coordinación, operativas, logísticas que comparten actividades con el proyecto 3.4.</t>
  </si>
  <si>
    <t>Se estiman 25 mesas de trabajo (4 presenciales y 19 virtuales), 4 talleres y/o eventos de divulgación nacionales, talleres y/o eventos de divulgación regionales (19 presenciales y 19 virtuales, 1 en cada subregión), 10 parcelas demostrativas (se toman 10 de las 19 subregiones porque contienen más del 30% del área en producción de maíz en sistema tecnificado, que se agrupan en 4 regiones), material de divulgación (en las 4 regiones priorizadas), escuelas, días de campo, giras técnicas,  y/o visitas (6 en cada una de las 10 subregiones). Se estiman, cursos cortos, cursos libres, y diplomados presenciales (1 en cada una de las 4 regiones priorizadas) y virtuales (1 en cada una de las 10 subregiones priorizadas); un equipo humano nacional de 2 personas, con viáticos y desplazamientos, un equipo en región de 10 personas, con rodamiento (peajes y combustible) y apoyos tecnológicos (GPS y Tablet) y unos consultores especializados para apoyar el diseño de riego intrapredial (1 en cada una de las 4 regiones priorizadas). Se estima un 7,5% de apoyo LEC de adecuación de tierras para uso agropecuario, en un 30% de las 30.000 ha/año nuevas, es decir 9.000 ha/año, durante 10 años. Se estima un ICR del 20% para soluciones individuales en riego, de las 30.000 ha/año nuevas, un 5% anual, es decir 1.500 ha/año, del año 2 al año 20,  con un valor estimado de $7.994.184/ha (USD 2.150 a una tasa de cambio de $3.718); este valor corresponde a un sistema de riego por pivote que incluye equipos, y no incluye mano de obra, ni infraestructura para captación de aguas. Se considera "Por definir" Otros tipos de captación, almacenamiento y aprovechamiento de agua, y otras formas de promoción</t>
  </si>
  <si>
    <t xml:space="preserve">Se estima a intervenir 15 subregiones para maíz tradicional ya que de acuerdo al documento de regionalización VI Alto Magdalena, LA Tolima Huila, LA Valle Occidente  y VI Valle del Cauca tienen un porcentaje menor del 5% en maíz tradicional y se consideran subregiones tecnificadas que no se intervienen en este programa. Se estiman 30 mesas de trabajo presencial y virtuales (una por subregión), se estiman contribuir a las familias para mejorar el manejo integral de  UPA,  estimando el 30% del   del establecimiento de un cultivo tradicional de mayor productividad, este porcentaje corresponde al supuesto de participación del maíz dentro de la unidad productiva, lo cual arroja un valor de $483.000,  se estima intervenir el 50% de las UPAS de maíz tradicional (39369) durante los 20 años de la realización del POP, 984 año, también se estima realización de 10 cursos cortos presenciales por región a intervenir  (15) y virtuales (15), se estima la realización de  talleres y/o eventos de divulgación nacional y/regional, dos por región a intervenir, tanto de  manera presencial como virtual,  se estima la realización de 2 mercados campesinos por subregión a intervenir, 2 desarrolladores de plataformas de mercadeo para desarrollar y promocionar los productos campesinos de manera virtual por 4 meses, plan de medios regional para promocionar los mercados campesinos. Se estimó un incentivo de vivienda para apoyar a una familia por región, en la cual se apoya con el 30% de la cuota inicial de una vivienda, la cual se estimó en 21 millones, se estimó un valor de apoyo para seis  meses de servicios públicos por un valor promedio de $25.000 apoyando a 30% de las familias durante 20 años, también se estimó un incentivo a las Tics por un valor de $300.000 que corresponde a la donación de una Tablet que se costea en $300.00 para el 30% de las familias durante 20 años, cada año se estima apoyar a 590 familias. También se estima un incentivo a la conectividad para apoyar la misma cantidad de familias del proyecto anterior, es decir 590 familias año por un valor de $600.000 el cual se calculó para pagar el servicio de internet por un año.  Se estima un valor material promocional de $10 millones por región.  Se estima un equipo humano a nivel nacional de 2 personas  con un valor promedio de $7.862.772 por diez meses, una persona por cada región con un valor promedio de $2.516.084 con su respectivo rodamiento por un período de 8 meses. </t>
  </si>
  <si>
    <t>Se estima a intervenir 15 subregiones para maíz tradicional ya que de acuerdo al documento de regionalización VI Alto Magdalena, LA Tolima Huila, LA Valle Occidente  y VI Valle del Cauca tienen un porcentaje menor del 5% en maíz tradicional y se consideran subregiones tecnificadas que no se intervienen en este programa. Se estiman 24 mesas de trabajo presencial y virtuales (dos por mes), se estima la realización de  talleres y/o eventos de divulgación nacional y/regional, uno por subregión a intervenir, tanto de  manera presencial como virtual, se estimó un incentivo a las Tics por un valor de $300.000, que corresponde al valor de la Tablet para 10 personas por región. También se estima un incentivo a la conectividad por un valor de $600.000 el cual se calculó para pagar el servicio de internet por un año por región.   Se estima la realización de un plan de medios radial regional,  un equipo humano a nivel nacional  de 2 personas con un valor promedio de $7.862.772 por diez meses, una persona por cada región con un valor promedio de $2.516.084 con su respectivo rodamiento por un período de 8 meses.  La cantidad necesaria de asistentes técnicos se calculó suponiendo que 170.000 has requieren asistencia técnica, y anualmente disminuyen en un 6% las hectáreas a intervenir, hasta llegar a 54.000 has en el año 20 del plan, cada año se da asistencia técnica al 50% de las has de manera presencial, el restante se hace de manera virtual. Se supone que una persona asiste 3 has en promedio,  se estima un salario incluido rodamiento por un valor de $4.316.484, lo cual nos da el valor de las personas por 8 meses. Se considera por definir convenios y programas y otras formas de contribución.</t>
  </si>
  <si>
    <t>Se estima a intervenir 15 subregiones para maíz tradicional ya que de acuerdo al documento de regionalización VI Alto Magdalena, LA Tolima Huila, LA Valle Occidente  y VI Valle del Cauca tienen un porcentaje menor del 5% en maíz tradicional y se consideran subregiones tecnificadas que no se intervienen en este programa. Se estiman desarrolladores de plataformas por 4 meses, mesas de trabajo 12 virtuales y 12 presenciales, talleres y se estima la realización de  talleres y/o eventos de divulgación nacional y/regional, uno por mes, tanto de  manera presencial como virtual, también se estima realización de 4 cursos cortos presenciales por subregión de manera presencial y 4 cursos cortos por subregión de manera virtual, en el cual el 50% es asumido por el que toma el curso,  se estima la realización de diplomados (3 por región) de manera presencial y virtual, se estima apoyar el 50% de formación tecnológico a una persona por región, se estima la realización de plan de medios radial regional para difundir el proyecto.  Se propone la creación de un incentivo a la unidad productiva basados, el valor estimado se basa en el supuesto de proveer insumos para sembrar una hectárea de maíz tradicional de manera óptima, que es un valor de $1.610.000 por familia, se estima intervenir al 30% de las familias durante le desarrollo del plan, es decir  590 familias año. Este valor es decreciente en el tiempo, ya que se estima tecnificar las has de maiz intervenidas. Se estima un equipo humano a nivel nacional y en región, de 2 personas con un valor promedio de $5.661.197 por diez meses, una persona por cada región con un valor promedio de $3.931.384 con su respectivo rodamiento  y apoyos tecnológicos por un período de 8 meses. Se estima un grupo de personas para asistir el 100% de las familias con producción tradicional durante el desarrollo del POP, asistencia que se dará 50% de manera virtual y 50% presencial, personal que se va reduciendo ya que se estima que las familias tradicionales disminuyen a lo largo del tiempo al ser más tecnificadas. Se considera por definir convenios y programas y otras formas de contribución.</t>
  </si>
  <si>
    <t>Se estima a intervenir 15 subregiones para maíz tradicional ya que de acuerdo al documento de regionalización VI Alto Magdalena, LA Tolima Huila, LA Valle Occidente  y VI Valle del Cauca tienen un porcentaje menor del 5% en maíz tradicional y se consideran subregiones tecnificadas que no se intervienen en este programa. Se estima la realización de mesas de trabajo 12 virtuales y 12 presenciales,  se estima la realización de  talleres y/o eventos de divulgación nacional y/regional, uno por región, campañas institucionales por región a intervenir, un monto global de material promocional, también se estima realización  de cursos cortos presenciales  y virtuales por subregión. Se  propone la creación de un incentivo a la formalización dirigido a pequeños productores, el cual se calcula en $1.610.000 , que corresponde al valor de una ha de maíz tradicional, y se estima para cubrir apoyos en asesoría, documentación. Se propone la creación de un incentivo al emprendimiento por $8.954.883 para pequeñas empresas para 10 empresas por cada región, el cual se calculó teniendo en cuenta el valor de los ingresos  de acuerdo a la clasificación de la Dian, a la cual se le estimó un porcentaje del  5% del valor anual de los ingresos estimados y a este resultado se le calculó el  5%, para un valor del incentivo de $8.954.883, se estima apoyar a 10 pequeños productores por región.  Se estima un equipo humano a nivel nacional de 2 personas con un valor promedio de $7.862.772  por diez meses, una persona por cada región con un valor promedio de $3.145.107 con su respectivo rodamiento por un período de 10 meses. Se considera por definir otras formas de promoción.</t>
  </si>
  <si>
    <t>Este proyecto se considera para las 19 subregiones maiceras que pertenecen a 7 regiones a lo largo del territorio nacional. Se estiman la realización de 12 mesas de trabajo presencial y 12 mesas de trabajo virtuales, talleres y/o eventos de divulgación nacionales presenciales y virtuales a nivel subregional, un monto de material promocional de $3.000.000 por región, se estima pautas en redes sociales por región por un valor global de 5 millones,   una campaña institucional a nivel nacional, cursos cortos presenciales y virtuales 10 por región. Se estima la creación de un incentivo a la formalización de la propiedad para pequeños con el fin de apoyar en temas de registro y documentación, por un valor de $3.000.000 a 20 productores de cada subregión, ste valor se halla suponiendo el costo de una hectarea en 20 millones y se supone un promedio de 3 has para un total de 60 millones, a lo cual se propone un incentivo del 5% del valor comercial de su predio.  Se estima 2 personas que apoyen la realización de actividades a nivel nacional, una persona por región, con rodamiento, apoyos tecnológicos, se estima un 50% de dedicación a este proyecto y el restante tiempo al proyecto 7.1 .  Se estima un equipo gestor especializado de 2 personas durante 5 años para que acompañe los inversitas en procesos de implementación</t>
  </si>
  <si>
    <t xml:space="preserve">Se estiman 11 mesas de trabajo (4 presenciales y 7 virtuales), talleres y/o eventos de divulgación nacional (4 talleres), regionales (1 por región) y virtuales (1 por subregión). Se estima un equipo humano nacional de 4 personas, con desplazamiento y viáticos, viajes internacionales (valor promedio tiquetes a Brasil, USA, México) y viáticos internacionales, un equipo humano en región de 7 personas, con rodamiento (Peajes y combustible) y apoyos tecnológicos (GPS y Tablet). Se propone un incentivo dirigido a promover la creación de empresas especializadas de extensión agrícola e industrial, en total 60 empresas en 5 años, es decir 12 empresas por año, entre micro, mediana y pequeña empresa (3 en cada una de las 4 regiones priorizadas, correspondiente a las regiones que agrupan 10 de las 19 subregiones porque contienen más del 30% del área en producción de maíz en sistema tecnificado).  El valor del incentivo se calculó teniendo en cuenta el valor de los ingresos de micro, pequeñas y medianas empresas, de acuerdo a la clasificación de la Dian, a la cual se le estimó un porcentaje del 10%, 5% y 3% del valor anual de los ingresos estimados y a este resultado se le calculó el 10%,   5% y 2%  para hallar un valor de apoyo para el emprendimiento por un valor de $8.954.883, $19,476.575 y $39.597.850 respectivamente. Se considera "Por definir" la implementación del modelo I+D+i y otras formas de fortalecimiento. </t>
  </si>
  <si>
    <t xml:space="preserve">Se estima realizar 1 taller nacional y los talleres por región (7) presenciales, 1 taller virtual por subregión (19) y una mesa de trabajo presencial por cada región (7)  y dos mesas de trabajo virtuales por cada subregión.  Para el desarrollo de las actividades se proyectan 3 profesionales con un promedio salarial de $7.862.772, se contemplan viajes por ejemplo a Argentina para el evaluar experiencias internacionales en el manejo de la calidad del grano y el fortalecimiento de un equipo regional con profesionales y técnicos a los cuales se les asigna dos subregiones, considerando el rodamientos, desplazamiento y viáticos. Se fortalecen la estrategia de comunicación con 1 campaña publicitaria institucional y 1 plan de medios radial a nivel subregional (19).  Se estima el fortalecimiento de laboratorios del ICA e Invima para los temas relacionados con el control de calidad del grano, se proyecta el apoyo de cuatro laboratorios los primeros dos años de ejecución del proyecto para abarcar las regiones priorizadas en maíz tecnificado.  Se estima laboratorios para control de calidad de alimentos, con las licencias y certificaciones correspondientes, e incluye la adecuación física de las intalaciones para su instalación y el mobiliario. El costo estimado es de $97,240,000 en la infraestructura y dotación de equipos, de $45,100,000 en adecuación de instalaciones mobiliario y de $45,100.000 en las licencias y certificaciones, para un total de $187.440,000 por laboratorio. Se estima el equipamiento de 4 laboratorios durante el desarrollo del plan para las macroregiones tecnificadas.El proyecto contempla acciones para el diseño de la estrategia financiera y otras formas de fortalecimiento que se deja por definir, considerando el nivel de información con que se cuenta.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</si>
</sst>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4" formatCode="_-&quot;$&quot;\ * #,##0.00_-;\-&quot;$&quot;\ * #,##0.00_-;_-&quot;$&quot;\ * &quot;-&quot;??_-;_-@_-"/>
    <numFmt numFmtId="43" formatCode="_-* #,##0.00_-;\-* #,##0.00_-;_-* &quot;-&quot;??_-;_-@_-"/>
    <numFmt numFmtId="164" formatCode="_-* #,##0_-;\-* #,##0_-;_-* &quot;-&quot;??_-;_-@_-"/>
    <numFmt numFmtId="165" formatCode="_-&quot;$&quot;\ * #,##0_-;\-&quot;$&quot;\ * #,##0_-;_-&quot;$&quot;\ * &quot;-&quot;??_-;_-@_-"/>
    <numFmt numFmtId="166" formatCode="0.0%"/>
    <numFmt numFmtId="167" formatCode="_-* #,##0.0_-;\-* #,##0.0_-;_-* &quot;-&quot;_-;_-@_-"/>
    <numFmt numFmtId="168" formatCode="[$USD]\ #,##0"/>
  </numFmts>
  <fonts count="38"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name val="Arial"/>
      <family val="2"/>
    </font>
    <font>
      <sz val="12"/>
      <color theme="1"/>
      <name val="Arial"/>
      <family val="2"/>
    </font>
    <font>
      <sz val="11"/>
      <color theme="8" tint="0.39997558519241921"/>
      <name val="Arial"/>
      <family val="2"/>
    </font>
    <font>
      <sz val="12"/>
      <color theme="1"/>
      <name val="Calibri"/>
      <family val="2"/>
      <scheme val="minor"/>
    </font>
    <font>
      <b/>
      <sz val="11"/>
      <color indexed="8"/>
      <name val="Arial"/>
      <family val="2"/>
    </font>
    <font>
      <sz val="11"/>
      <color theme="6" tint="-0.249977111117893"/>
      <name val="Arial"/>
      <family val="2"/>
    </font>
    <font>
      <u/>
      <sz val="11"/>
      <color theme="10"/>
      <name val="Calibri"/>
      <family val="2"/>
      <scheme val="minor"/>
    </font>
    <font>
      <b/>
      <sz val="11"/>
      <name val="Arial"/>
      <family val="2"/>
    </font>
    <font>
      <sz val="11"/>
      <color rgb="FFFF0000"/>
      <name val="Arial"/>
      <family val="2"/>
    </font>
    <font>
      <sz val="10"/>
      <name val="Arial"/>
      <family val="2"/>
    </font>
    <font>
      <sz val="11"/>
      <color theme="4"/>
      <name val="Arial"/>
      <family val="2"/>
    </font>
    <font>
      <sz val="12"/>
      <color rgb="FFFF0000"/>
      <name val="Arial"/>
      <family val="2"/>
    </font>
    <font>
      <b/>
      <sz val="11"/>
      <color rgb="FFFF0000"/>
      <name val="Arial"/>
      <family val="2"/>
    </font>
    <font>
      <b/>
      <sz val="11"/>
      <color rgb="FF000000"/>
      <name val="Arial"/>
      <family val="2"/>
    </font>
    <font>
      <b/>
      <sz val="11"/>
      <color theme="1" tint="0.14999847407452621"/>
      <name val="Arial"/>
      <family val="2"/>
    </font>
    <font>
      <sz val="11"/>
      <color theme="5"/>
      <name val="Arial"/>
      <family val="2"/>
    </font>
    <font>
      <sz val="10"/>
      <color theme="1"/>
      <name val="Arial"/>
      <family val="2"/>
    </font>
    <font>
      <b/>
      <sz val="12"/>
      <color theme="0"/>
      <name val="Arial Black"/>
      <family val="2"/>
    </font>
    <font>
      <sz val="10"/>
      <color theme="1" tint="0.14999847407452621"/>
      <name val="Arial"/>
      <family val="2"/>
    </font>
    <font>
      <sz val="11"/>
      <color theme="1" tint="0.14999847407452621"/>
      <name val="Arial"/>
      <family val="2"/>
    </font>
    <font>
      <b/>
      <sz val="12"/>
      <color theme="1"/>
      <name val="Arial"/>
      <family val="2"/>
    </font>
    <font>
      <b/>
      <sz val="12"/>
      <name val="Arial"/>
      <family val="2"/>
    </font>
    <font>
      <b/>
      <sz val="11"/>
      <color theme="1" tint="0.249977111117893"/>
      <name val="Arial"/>
      <family val="2"/>
    </font>
    <font>
      <sz val="11"/>
      <color theme="1" tint="0.249977111117893"/>
      <name val="Arial"/>
      <family val="2"/>
    </font>
    <font>
      <sz val="8"/>
      <name val="Calibri"/>
      <family val="2"/>
      <scheme val="minor"/>
    </font>
    <font>
      <b/>
      <sz val="14"/>
      <color theme="1"/>
      <name val="Arial"/>
      <family val="2"/>
    </font>
    <font>
      <b/>
      <sz val="14"/>
      <color theme="1"/>
      <name val="Calibri"/>
      <family val="2"/>
      <scheme val="minor"/>
    </font>
    <font>
      <sz val="9"/>
      <name val="Arial"/>
      <family val="2"/>
    </font>
    <font>
      <b/>
      <sz val="11"/>
      <color rgb="FF333333"/>
      <name val="Arial"/>
      <family val="2"/>
    </font>
    <font>
      <sz val="11"/>
      <color rgb="FF333333"/>
      <name val="Arial"/>
      <family val="2"/>
    </font>
    <font>
      <u/>
      <sz val="11"/>
      <color theme="10"/>
      <name val="Arial"/>
      <family val="2"/>
    </font>
    <font>
      <sz val="8"/>
      <color theme="1"/>
      <name val="Arial"/>
      <family val="2"/>
    </font>
    <font>
      <sz val="11"/>
      <color rgb="FF000000"/>
      <name val="Arial"/>
      <family val="2"/>
    </font>
    <font>
      <b/>
      <sz val="11"/>
      <color rgb="FF0070C0"/>
      <name val="Arial"/>
      <family val="2"/>
    </font>
  </fonts>
  <fills count="1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2"/>
        <bgColor rgb="FF000000"/>
      </patternFill>
    </fill>
    <fill>
      <patternFill patternType="solid">
        <fgColor rgb="FFFFFFFF"/>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bgColor indexed="64"/>
      </patternFill>
    </fill>
    <fill>
      <patternFill patternType="solid">
        <fgColor theme="7"/>
        <bgColor indexed="64"/>
      </patternFill>
    </fill>
    <fill>
      <patternFill patternType="solid">
        <fgColor theme="7" tint="0.79998168889431442"/>
        <bgColor indexed="64"/>
      </patternFill>
    </fill>
    <fill>
      <patternFill patternType="solid">
        <fgColor rgb="FF92D05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FFFFFF"/>
        <bgColor indexed="64"/>
      </patternFill>
    </fill>
    <fill>
      <patternFill patternType="solid">
        <fgColor theme="7" tint="0.59999389629810485"/>
        <bgColor indexed="64"/>
      </patternFill>
    </fill>
  </fills>
  <borders count="44">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theme="6" tint="-0.24994659260841701"/>
      </left>
      <right/>
      <top style="thin">
        <color theme="6" tint="-0.24994659260841701"/>
      </top>
      <bottom/>
      <diagonal/>
    </border>
    <border>
      <left/>
      <right/>
      <top style="thin">
        <color theme="6" tint="-0.24994659260841701"/>
      </top>
      <bottom/>
      <diagonal/>
    </border>
    <border>
      <left/>
      <right style="thin">
        <color theme="6" tint="-0.24994659260841701"/>
      </right>
      <top style="thin">
        <color theme="6" tint="-0.24994659260841701"/>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top/>
      <bottom/>
      <diagonal/>
    </border>
    <border>
      <left style="thin">
        <color theme="6" tint="-0.24994659260841701"/>
      </left>
      <right/>
      <top/>
      <bottom style="thin">
        <color theme="6" tint="-0.24994659260841701"/>
      </bottom>
      <diagonal/>
    </border>
    <border>
      <left/>
      <right/>
      <top/>
      <bottom style="thin">
        <color theme="6" tint="-0.24994659260841701"/>
      </bottom>
      <diagonal/>
    </border>
    <border>
      <left style="thin">
        <color theme="6" tint="-0.24994659260841701"/>
      </left>
      <right/>
      <top style="thin">
        <color theme="6" tint="-0.24994659260841701"/>
      </top>
      <bottom style="thin">
        <color theme="6" tint="-0.24994659260841701"/>
      </bottom>
      <diagonal/>
    </border>
    <border>
      <left/>
      <right/>
      <top style="thin">
        <color theme="6" tint="-0.24994659260841701"/>
      </top>
      <bottom style="thin">
        <color theme="6" tint="-0.24994659260841701"/>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bottom/>
      <diagonal/>
    </border>
    <border>
      <left/>
      <right style="thin">
        <color rgb="FF000000"/>
      </right>
      <top/>
      <bottom/>
      <diagonal/>
    </border>
    <border>
      <left style="thin">
        <color indexed="64"/>
      </left>
      <right/>
      <top/>
      <bottom style="thin">
        <color indexed="64"/>
      </bottom>
      <diagonal/>
    </border>
  </borders>
  <cellStyleXfs count="61">
    <xf numFmtId="0" fontId="0" fillId="0" borderId="0"/>
    <xf numFmtId="44" fontId="1" fillId="0" borderId="0" applyFont="0" applyFill="0" applyBorder="0" applyAlignment="0" applyProtection="0"/>
    <xf numFmtId="0" fontId="1" fillId="0" borderId="0"/>
    <xf numFmtId="0" fontId="7" fillId="0" borderId="0"/>
    <xf numFmtId="0" fontId="1" fillId="0" borderId="0"/>
    <xf numFmtId="43" fontId="1" fillId="0" borderId="0" applyFont="0" applyFill="0" applyBorder="0" applyAlignment="0" applyProtection="0"/>
    <xf numFmtId="0" fontId="10" fillId="0" borderId="0" applyNumberFormat="0" applyFill="0" applyBorder="0" applyAlignment="0" applyProtection="0"/>
    <xf numFmtId="44"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13" fillId="0" borderId="0"/>
    <xf numFmtId="9" fontId="7" fillId="0" borderId="0" applyFont="0" applyFill="0" applyBorder="0" applyAlignment="0" applyProtection="0"/>
    <xf numFmtId="0" fontId="1" fillId="0" borderId="0"/>
    <xf numFmtId="43" fontId="7" fillId="0" borderId="0" applyFont="0" applyFill="0" applyBorder="0" applyAlignment="0" applyProtection="0"/>
    <xf numFmtId="41" fontId="7"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 fillId="0" borderId="0"/>
    <xf numFmtId="0" fontId="7" fillId="0" borderId="0"/>
    <xf numFmtId="0" fontId="1" fillId="0" borderId="0"/>
    <xf numFmtId="0" fontId="7" fillId="0" borderId="0"/>
    <xf numFmtId="0" fontId="13" fillId="0" borderId="0"/>
    <xf numFmtId="9" fontId="1" fillId="0" borderId="0" applyFont="0" applyFill="0" applyBorder="0" applyAlignment="0" applyProtection="0"/>
    <xf numFmtId="41"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0" fontId="10" fillId="0" borderId="0" applyNumberFormat="0" applyFill="0" applyBorder="0" applyAlignment="0" applyProtection="0"/>
  </cellStyleXfs>
  <cellXfs count="728">
    <xf numFmtId="0" fontId="0" fillId="0" borderId="0" xfId="0"/>
    <xf numFmtId="0" fontId="2" fillId="2" borderId="0" xfId="2" applyFont="1" applyFill="1"/>
    <xf numFmtId="0" fontId="2" fillId="2" borderId="0" xfId="2" applyFont="1" applyFill="1" applyAlignment="1">
      <alignment wrapText="1"/>
    </xf>
    <xf numFmtId="0" fontId="3" fillId="2" borderId="0" xfId="2" applyFont="1" applyFill="1"/>
    <xf numFmtId="0" fontId="2" fillId="2" borderId="0" xfId="2" applyFont="1" applyFill="1" applyAlignment="1">
      <alignment horizontal="left" wrapText="1"/>
    </xf>
    <xf numFmtId="0" fontId="2" fillId="2" borderId="0" xfId="2" applyFont="1" applyFill="1" applyAlignment="1">
      <alignment horizontal="left"/>
    </xf>
    <xf numFmtId="0" fontId="2" fillId="0" borderId="0" xfId="2" applyFont="1" applyAlignment="1">
      <alignment horizontal="left" vertical="center" wrapText="1"/>
    </xf>
    <xf numFmtId="0" fontId="2" fillId="2" borderId="0" xfId="2" applyFont="1" applyFill="1" applyAlignment="1">
      <alignment horizontal="left" vertical="center" wrapText="1"/>
    </xf>
    <xf numFmtId="0" fontId="2" fillId="2" borderId="0" xfId="2" applyFont="1" applyFill="1" applyAlignment="1">
      <alignment horizontal="left" vertical="center"/>
    </xf>
    <xf numFmtId="0" fontId="2" fillId="0" borderId="0" xfId="2" applyFont="1" applyAlignment="1">
      <alignment horizontal="justify" vertical="center" wrapText="1"/>
    </xf>
    <xf numFmtId="0" fontId="3" fillId="0" borderId="8" xfId="2" applyFont="1" applyBorder="1" applyAlignment="1">
      <alignment horizontal="center" vertical="center"/>
    </xf>
    <xf numFmtId="0" fontId="3" fillId="0" borderId="11" xfId="2" applyFont="1" applyBorder="1" applyAlignment="1">
      <alignment horizontal="center" vertical="center" wrapText="1"/>
    </xf>
    <xf numFmtId="0" fontId="4" fillId="0" borderId="8" xfId="2" applyFont="1" applyBorder="1" applyAlignment="1">
      <alignment horizontal="justify" vertical="center" wrapText="1"/>
    </xf>
    <xf numFmtId="0" fontId="3" fillId="0" borderId="8" xfId="2" applyFont="1" applyBorder="1" applyAlignment="1">
      <alignment horizontal="center" vertical="center" wrapText="1"/>
    </xf>
    <xf numFmtId="0" fontId="2" fillId="0" borderId="8" xfId="2" applyFont="1" applyBorder="1" applyAlignment="1">
      <alignment horizontal="justify" vertical="center" wrapText="1"/>
    </xf>
    <xf numFmtId="0" fontId="2" fillId="2" borderId="0" xfId="2" applyFont="1" applyFill="1" applyAlignment="1">
      <alignment vertical="center"/>
    </xf>
    <xf numFmtId="0" fontId="3" fillId="0" borderId="8" xfId="2" applyFont="1" applyBorder="1" applyAlignment="1">
      <alignment horizontal="center"/>
    </xf>
    <xf numFmtId="0" fontId="3" fillId="0" borderId="8" xfId="2" applyFont="1" applyBorder="1" applyAlignment="1">
      <alignment horizontal="left" vertical="center" wrapText="1"/>
    </xf>
    <xf numFmtId="0" fontId="2" fillId="0" borderId="8" xfId="2" applyFont="1" applyBorder="1" applyAlignment="1">
      <alignment vertical="center" wrapText="1"/>
    </xf>
    <xf numFmtId="0" fontId="3" fillId="0" borderId="11" xfId="2" applyFont="1" applyBorder="1" applyAlignment="1">
      <alignment horizontal="center" vertical="center"/>
    </xf>
    <xf numFmtId="0" fontId="2" fillId="0" borderId="8" xfId="2" applyFont="1" applyBorder="1" applyAlignment="1">
      <alignment horizontal="left" vertical="center" wrapText="1"/>
    </xf>
    <xf numFmtId="0" fontId="3" fillId="2" borderId="8" xfId="2" applyFont="1" applyFill="1" applyBorder="1" applyAlignment="1">
      <alignment horizontal="center" vertical="center" wrapText="1"/>
    </xf>
    <xf numFmtId="0" fontId="2" fillId="2" borderId="8" xfId="2" applyFont="1" applyFill="1" applyBorder="1" applyAlignment="1">
      <alignment vertical="center" wrapText="1"/>
    </xf>
    <xf numFmtId="0" fontId="3" fillId="2" borderId="8" xfId="2" applyFont="1" applyFill="1" applyBorder="1" applyAlignment="1">
      <alignment horizontal="center" vertical="center"/>
    </xf>
    <xf numFmtId="0" fontId="2" fillId="2" borderId="8" xfId="2" applyFont="1" applyFill="1" applyBorder="1" applyAlignment="1">
      <alignment horizontal="justify" vertical="center" wrapText="1"/>
    </xf>
    <xf numFmtId="0" fontId="2" fillId="0" borderId="0" xfId="3" applyFont="1"/>
    <xf numFmtId="0" fontId="2" fillId="0" borderId="0" xfId="2" applyFont="1"/>
    <xf numFmtId="0" fontId="2" fillId="0" borderId="0" xfId="3" applyFont="1" applyAlignment="1">
      <alignment horizontal="center"/>
    </xf>
    <xf numFmtId="0" fontId="2" fillId="0" borderId="0" xfId="2" applyFont="1" applyAlignment="1">
      <alignment horizontal="center" vertical="center" wrapText="1"/>
    </xf>
    <xf numFmtId="0" fontId="2" fillId="2" borderId="0" xfId="3" applyFont="1" applyFill="1"/>
    <xf numFmtId="0" fontId="2" fillId="2" borderId="0" xfId="3" applyFont="1" applyFill="1" applyAlignment="1">
      <alignment horizontal="center"/>
    </xf>
    <xf numFmtId="0" fontId="3" fillId="0" borderId="0" xfId="3" applyFont="1" applyAlignment="1">
      <alignment horizontal="center" vertical="center" wrapText="1"/>
    </xf>
    <xf numFmtId="10" fontId="9" fillId="0" borderId="0" xfId="2" applyNumberFormat="1" applyFont="1" applyAlignment="1">
      <alignment horizontal="center"/>
    </xf>
    <xf numFmtId="0" fontId="2" fillId="0" borderId="17" xfId="3" applyFont="1" applyBorder="1"/>
    <xf numFmtId="0" fontId="2" fillId="0" borderId="0" xfId="3" applyFont="1" applyAlignment="1">
      <alignment vertical="top" wrapText="1"/>
    </xf>
    <xf numFmtId="0" fontId="2" fillId="0" borderId="0" xfId="2" applyFont="1" applyAlignment="1">
      <alignment wrapText="1"/>
    </xf>
    <xf numFmtId="0" fontId="2" fillId="0" borderId="0" xfId="2" applyFont="1" applyAlignment="1">
      <alignment horizontal="justify" vertical="center"/>
    </xf>
    <xf numFmtId="0" fontId="2" fillId="0" borderId="0" xfId="4" applyFont="1"/>
    <xf numFmtId="0" fontId="2" fillId="2" borderId="0" xfId="4" applyFont="1" applyFill="1"/>
    <xf numFmtId="0" fontId="2" fillId="0" borderId="8" xfId="4" applyFont="1" applyBorder="1"/>
    <xf numFmtId="0" fontId="2" fillId="0" borderId="0" xfId="4" applyFont="1" applyAlignment="1">
      <alignment horizontal="center"/>
    </xf>
    <xf numFmtId="0" fontId="4" fillId="0" borderId="8" xfId="4" applyFont="1" applyBorder="1"/>
    <xf numFmtId="0" fontId="2" fillId="0" borderId="0" xfId="4" applyFont="1" applyAlignment="1">
      <alignment wrapText="1"/>
    </xf>
    <xf numFmtId="164" fontId="4" fillId="0" borderId="8" xfId="4" applyNumberFormat="1" applyFont="1" applyBorder="1"/>
    <xf numFmtId="164" fontId="2" fillId="0" borderId="0" xfId="8" applyNumberFormat="1" applyFont="1"/>
    <xf numFmtId="164" fontId="2" fillId="0" borderId="8" xfId="8" applyNumberFormat="1" applyFont="1" applyBorder="1"/>
    <xf numFmtId="164" fontId="2" fillId="0" borderId="8" xfId="4" applyNumberFormat="1" applyFont="1" applyBorder="1"/>
    <xf numFmtId="0" fontId="4" fillId="2" borderId="8" xfId="4" applyFont="1" applyFill="1" applyBorder="1"/>
    <xf numFmtId="0" fontId="2" fillId="0" borderId="8" xfId="4" applyFont="1" applyBorder="1" applyAlignment="1">
      <alignment horizontal="left"/>
    </xf>
    <xf numFmtId="0" fontId="2" fillId="2" borderId="8" xfId="4" applyFont="1" applyFill="1" applyBorder="1"/>
    <xf numFmtId="0" fontId="3" fillId="2" borderId="0" xfId="4" applyFont="1" applyFill="1"/>
    <xf numFmtId="164" fontId="2" fillId="0" borderId="8" xfId="9" applyNumberFormat="1" applyFont="1" applyBorder="1"/>
    <xf numFmtId="41" fontId="2" fillId="0" borderId="8" xfId="15" applyFont="1" applyBorder="1"/>
    <xf numFmtId="164" fontId="2" fillId="0" borderId="0" xfId="18" applyNumberFormat="1" applyFont="1"/>
    <xf numFmtId="164" fontId="2" fillId="0" borderId="8" xfId="18" applyNumberFormat="1" applyFont="1" applyBorder="1"/>
    <xf numFmtId="164" fontId="4" fillId="0" borderId="8" xfId="18" applyNumberFormat="1" applyFont="1" applyBorder="1"/>
    <xf numFmtId="0" fontId="2" fillId="0" borderId="0" xfId="3" applyFont="1" applyAlignment="1">
      <alignment wrapText="1"/>
    </xf>
    <xf numFmtId="0" fontId="2" fillId="0" borderId="8" xfId="4" applyFont="1" applyBorder="1" applyAlignment="1">
      <alignment wrapText="1"/>
    </xf>
    <xf numFmtId="0" fontId="3" fillId="0" borderId="0" xfId="4" applyFont="1"/>
    <xf numFmtId="0" fontId="17" fillId="0" borderId="0" xfId="4" applyFont="1"/>
    <xf numFmtId="0" fontId="17" fillId="6" borderId="0" xfId="4" applyFont="1" applyFill="1"/>
    <xf numFmtId="0" fontId="2" fillId="6" borderId="0" xfId="4" applyFont="1" applyFill="1"/>
    <xf numFmtId="0" fontId="2" fillId="7" borderId="0" xfId="4" applyFont="1" applyFill="1"/>
    <xf numFmtId="0" fontId="3" fillId="0" borderId="8" xfId="4" applyFont="1" applyBorder="1" applyAlignment="1">
      <alignment horizontal="center"/>
    </xf>
    <xf numFmtId="0" fontId="3" fillId="8" borderId="8" xfId="4" applyFont="1" applyFill="1" applyBorder="1" applyAlignment="1">
      <alignment horizontal="center"/>
    </xf>
    <xf numFmtId="0" fontId="18" fillId="8" borderId="8" xfId="4" applyFont="1" applyFill="1" applyBorder="1" applyAlignment="1">
      <alignment horizontal="center" vertical="center"/>
    </xf>
    <xf numFmtId="3" fontId="3" fillId="8" borderId="8" xfId="4" applyNumberFormat="1" applyFont="1" applyFill="1" applyBorder="1" applyAlignment="1">
      <alignment horizontal="center"/>
    </xf>
    <xf numFmtId="3" fontId="2" fillId="0" borderId="0" xfId="4" applyNumberFormat="1" applyFont="1" applyAlignment="1">
      <alignment horizontal="center"/>
    </xf>
    <xf numFmtId="0" fontId="4" fillId="2" borderId="0" xfId="4" applyFont="1" applyFill="1"/>
    <xf numFmtId="0" fontId="4" fillId="2" borderId="8" xfId="4" applyFont="1" applyFill="1" applyBorder="1" applyAlignment="1">
      <alignment horizontal="justify" vertical="center" wrapText="1"/>
    </xf>
    <xf numFmtId="165" fontId="4" fillId="2" borderId="8" xfId="7" applyNumberFormat="1" applyFont="1" applyFill="1" applyBorder="1" applyAlignment="1">
      <alignment horizontal="right" vertical="center"/>
    </xf>
    <xf numFmtId="0" fontId="4" fillId="2" borderId="0" xfId="4" applyFont="1" applyFill="1" applyAlignment="1">
      <alignment horizontal="center" vertical="center"/>
    </xf>
    <xf numFmtId="165" fontId="3" fillId="8" borderId="8" xfId="10" applyNumberFormat="1" applyFont="1" applyFill="1" applyBorder="1" applyAlignment="1">
      <alignment horizontal="center"/>
    </xf>
    <xf numFmtId="0" fontId="3" fillId="2" borderId="0" xfId="4" applyFont="1" applyFill="1" applyAlignment="1">
      <alignment horizontal="center"/>
    </xf>
    <xf numFmtId="165" fontId="3" fillId="2" borderId="0" xfId="10" applyNumberFormat="1" applyFont="1" applyFill="1" applyBorder="1" applyAlignment="1">
      <alignment horizontal="center"/>
    </xf>
    <xf numFmtId="165" fontId="14" fillId="2" borderId="0" xfId="10" applyNumberFormat="1" applyFont="1" applyFill="1" applyBorder="1" applyAlignment="1">
      <alignment horizontal="center"/>
    </xf>
    <xf numFmtId="0" fontId="2" fillId="2" borderId="0" xfId="4" applyFont="1" applyFill="1" applyAlignment="1">
      <alignment horizontal="center"/>
    </xf>
    <xf numFmtId="0" fontId="3" fillId="2" borderId="0" xfId="4" applyFont="1" applyFill="1" applyAlignment="1">
      <alignment horizontal="left" wrapText="1"/>
    </xf>
    <xf numFmtId="3" fontId="2" fillId="2" borderId="0" xfId="4" applyNumberFormat="1" applyFont="1" applyFill="1"/>
    <xf numFmtId="0" fontId="3" fillId="9" borderId="8" xfId="4" applyFont="1" applyFill="1" applyBorder="1" applyAlignment="1">
      <alignment horizontal="center"/>
    </xf>
    <xf numFmtId="164" fontId="3" fillId="9" borderId="8" xfId="9" applyNumberFormat="1" applyFont="1" applyFill="1" applyBorder="1" applyAlignment="1">
      <alignment horizontal="center"/>
    </xf>
    <xf numFmtId="165" fontId="2" fillId="0" borderId="0" xfId="4" applyNumberFormat="1" applyFont="1"/>
    <xf numFmtId="164" fontId="4" fillId="0" borderId="8" xfId="8" applyNumberFormat="1" applyFont="1" applyBorder="1"/>
    <xf numFmtId="3" fontId="2" fillId="0" borderId="8" xfId="4" applyNumberFormat="1" applyFont="1" applyBorder="1"/>
    <xf numFmtId="164" fontId="2" fillId="2" borderId="0" xfId="8" applyNumberFormat="1" applyFont="1" applyFill="1"/>
    <xf numFmtId="164" fontId="14" fillId="2" borderId="0" xfId="8" applyNumberFormat="1" applyFont="1" applyFill="1"/>
    <xf numFmtId="0" fontId="3" fillId="9" borderId="8" xfId="4" applyFont="1" applyFill="1" applyBorder="1" applyAlignment="1">
      <alignment horizontal="left"/>
    </xf>
    <xf numFmtId="0" fontId="2" fillId="9" borderId="8" xfId="4" applyFont="1" applyFill="1" applyBorder="1"/>
    <xf numFmtId="3" fontId="2" fillId="9" borderId="8" xfId="4" applyNumberFormat="1" applyFont="1" applyFill="1" applyBorder="1"/>
    <xf numFmtId="165" fontId="3" fillId="9" borderId="9" xfId="10" applyNumberFormat="1" applyFont="1" applyFill="1" applyBorder="1" applyAlignment="1">
      <alignment horizontal="center"/>
    </xf>
    <xf numFmtId="0" fontId="2" fillId="0" borderId="12" xfId="3" applyFont="1" applyBorder="1" applyAlignment="1">
      <alignment wrapText="1"/>
    </xf>
    <xf numFmtId="164" fontId="3" fillId="0" borderId="0" xfId="9" applyNumberFormat="1" applyFont="1" applyBorder="1"/>
    <xf numFmtId="0" fontId="19" fillId="2" borderId="0" xfId="4" applyFont="1" applyFill="1"/>
    <xf numFmtId="0" fontId="19" fillId="0" borderId="0" xfId="4" applyFont="1"/>
    <xf numFmtId="9" fontId="2" fillId="2" borderId="8" xfId="28" applyFont="1" applyFill="1" applyBorder="1"/>
    <xf numFmtId="3" fontId="4" fillId="0" borderId="8" xfId="4" applyNumberFormat="1" applyFont="1" applyBorder="1"/>
    <xf numFmtId="0" fontId="2" fillId="2" borderId="8" xfId="4" applyFont="1" applyFill="1" applyBorder="1" applyAlignment="1">
      <alignment wrapText="1"/>
    </xf>
    <xf numFmtId="9" fontId="2" fillId="2" borderId="8" xfId="4" applyNumberFormat="1" applyFont="1" applyFill="1" applyBorder="1"/>
    <xf numFmtId="9" fontId="2" fillId="0" borderId="8" xfId="4" applyNumberFormat="1" applyFont="1" applyBorder="1"/>
    <xf numFmtId="165" fontId="3" fillId="9" borderId="8" xfId="7" applyNumberFormat="1" applyFont="1" applyFill="1" applyBorder="1" applyAlignment="1">
      <alignment horizontal="center"/>
    </xf>
    <xf numFmtId="0" fontId="4" fillId="2" borderId="0" xfId="4" applyFont="1" applyFill="1" applyAlignment="1">
      <alignment horizontal="justify" wrapText="1"/>
    </xf>
    <xf numFmtId="164" fontId="20" fillId="0" borderId="0" xfId="8" applyNumberFormat="1" applyFont="1" applyAlignment="1">
      <alignment horizontal="justify" wrapText="1"/>
    </xf>
    <xf numFmtId="0" fontId="2" fillId="0" borderId="0" xfId="4" applyFont="1"/>
    <xf numFmtId="0" fontId="2" fillId="2" borderId="0" xfId="4" applyFont="1" applyFill="1"/>
    <xf numFmtId="0" fontId="2" fillId="0" borderId="8" xfId="4" applyFont="1" applyBorder="1"/>
    <xf numFmtId="0" fontId="4" fillId="0" borderId="8" xfId="4" applyFont="1" applyBorder="1"/>
    <xf numFmtId="0" fontId="2" fillId="0" borderId="0" xfId="4" applyFont="1" applyAlignment="1">
      <alignment vertical="center"/>
    </xf>
    <xf numFmtId="0" fontId="2" fillId="0" borderId="0" xfId="4" applyFont="1" applyBorder="1"/>
    <xf numFmtId="0" fontId="4" fillId="0" borderId="8" xfId="4" applyFont="1" applyBorder="1" applyAlignment="1">
      <alignment horizontal="center"/>
    </xf>
    <xf numFmtId="3" fontId="2" fillId="0" borderId="8" xfId="4" applyNumberFormat="1" applyFont="1" applyBorder="1"/>
    <xf numFmtId="0" fontId="2" fillId="0" borderId="0" xfId="3" applyFont="1" applyAlignment="1">
      <alignment wrapText="1"/>
    </xf>
    <xf numFmtId="0" fontId="3" fillId="2" borderId="0" xfId="4" applyFont="1" applyFill="1" applyAlignment="1">
      <alignment horizontal="left" wrapText="1"/>
    </xf>
    <xf numFmtId="0" fontId="2" fillId="0" borderId="0" xfId="3" applyFont="1" applyAlignment="1">
      <alignment wrapText="1"/>
    </xf>
    <xf numFmtId="0" fontId="3" fillId="2" borderId="0" xfId="4" applyFont="1" applyFill="1" applyAlignment="1">
      <alignment horizontal="left" wrapText="1"/>
    </xf>
    <xf numFmtId="165" fontId="4" fillId="2" borderId="8" xfId="7" applyNumberFormat="1" applyFont="1" applyFill="1" applyBorder="1" applyAlignment="1">
      <alignment horizontal="center" vertical="center"/>
    </xf>
    <xf numFmtId="165" fontId="3" fillId="9" borderId="8" xfId="10" applyNumberFormat="1" applyFont="1" applyFill="1" applyBorder="1" applyAlignment="1">
      <alignment horizontal="center"/>
    </xf>
    <xf numFmtId="164" fontId="2" fillId="0" borderId="0" xfId="4" applyNumberFormat="1" applyFont="1"/>
    <xf numFmtId="164" fontId="2" fillId="0" borderId="12" xfId="18" applyNumberFormat="1" applyFont="1" applyBorder="1" applyAlignment="1">
      <alignment wrapText="1"/>
    </xf>
    <xf numFmtId="1" fontId="4" fillId="0" borderId="8" xfId="4" applyNumberFormat="1" applyFont="1" applyBorder="1"/>
    <xf numFmtId="41" fontId="4" fillId="0" borderId="8" xfId="4" applyNumberFormat="1" applyFont="1" applyBorder="1"/>
    <xf numFmtId="0" fontId="4" fillId="0" borderId="8" xfId="51" applyFont="1" applyBorder="1"/>
    <xf numFmtId="0" fontId="4" fillId="0" borderId="8" xfId="52" applyFont="1" applyBorder="1"/>
    <xf numFmtId="0" fontId="2" fillId="0" borderId="12" xfId="4" applyFont="1" applyBorder="1"/>
    <xf numFmtId="0" fontId="2" fillId="2" borderId="0" xfId="4" applyFont="1" applyFill="1" applyAlignment="1">
      <alignment wrapText="1"/>
    </xf>
    <xf numFmtId="0" fontId="2" fillId="0" borderId="8" xfId="51" applyFont="1" applyBorder="1"/>
    <xf numFmtId="0" fontId="2" fillId="2" borderId="8" xfId="51" applyFont="1" applyFill="1" applyBorder="1" applyAlignment="1">
      <alignment wrapText="1"/>
    </xf>
    <xf numFmtId="0" fontId="2" fillId="2" borderId="8" xfId="51" applyFont="1" applyFill="1" applyBorder="1"/>
    <xf numFmtId="3" fontId="2" fillId="2" borderId="8" xfId="51" applyNumberFormat="1" applyFont="1" applyFill="1" applyBorder="1"/>
    <xf numFmtId="9" fontId="2" fillId="0" borderId="8" xfId="51" applyNumberFormat="1" applyFont="1" applyBorder="1"/>
    <xf numFmtId="164" fontId="2" fillId="0" borderId="8" xfId="51" applyNumberFormat="1" applyFont="1" applyBorder="1"/>
    <xf numFmtId="0" fontId="2" fillId="0" borderId="8" xfId="53" applyFont="1" applyBorder="1"/>
    <xf numFmtId="0" fontId="13" fillId="2" borderId="0" xfId="4" applyFont="1" applyFill="1" applyAlignment="1">
      <alignment horizontal="justify" vertical="top"/>
    </xf>
    <xf numFmtId="0" fontId="13" fillId="2" borderId="12" xfId="4" applyFont="1" applyFill="1" applyBorder="1" applyAlignment="1">
      <alignment horizontal="justify" vertical="top" wrapText="1"/>
    </xf>
    <xf numFmtId="44" fontId="2" fillId="0" borderId="8" xfId="1" applyFont="1" applyBorder="1"/>
    <xf numFmtId="0" fontId="22" fillId="2" borderId="26" xfId="0" applyFont="1" applyFill="1" applyBorder="1" applyAlignment="1">
      <alignment horizontal="center" vertical="center"/>
    </xf>
    <xf numFmtId="0" fontId="2" fillId="0" borderId="0" xfId="3" applyFont="1" applyBorder="1" applyAlignment="1">
      <alignment wrapText="1"/>
    </xf>
    <xf numFmtId="0" fontId="2" fillId="2" borderId="0" xfId="4" applyFont="1" applyFill="1" applyBorder="1"/>
    <xf numFmtId="164" fontId="2" fillId="2" borderId="8" xfId="18" applyNumberFormat="1" applyFont="1" applyFill="1" applyBorder="1"/>
    <xf numFmtId="164" fontId="2" fillId="2" borderId="0" xfId="18" applyNumberFormat="1" applyFont="1" applyFill="1"/>
    <xf numFmtId="3" fontId="3" fillId="9" borderId="8" xfId="4" applyNumberFormat="1" applyFont="1" applyFill="1" applyBorder="1"/>
    <xf numFmtId="164" fontId="4" fillId="0" borderId="8" xfId="8" applyNumberFormat="1" applyFont="1" applyBorder="1" applyAlignment="1">
      <alignment horizontal="right"/>
    </xf>
    <xf numFmtId="165" fontId="2" fillId="0" borderId="0" xfId="1" applyNumberFormat="1" applyFont="1" applyBorder="1" applyAlignment="1">
      <alignment wrapText="1"/>
    </xf>
    <xf numFmtId="0" fontId="3" fillId="11" borderId="8" xfId="4" applyFont="1" applyFill="1" applyBorder="1" applyAlignment="1">
      <alignment horizontal="left"/>
    </xf>
    <xf numFmtId="0" fontId="2" fillId="12" borderId="8" xfId="4" applyFont="1" applyFill="1" applyBorder="1"/>
    <xf numFmtId="0" fontId="4" fillId="2" borderId="8" xfId="4" applyFont="1" applyFill="1" applyBorder="1" applyAlignment="1">
      <alignment horizontal="center" vertical="center" wrapText="1"/>
    </xf>
    <xf numFmtId="164" fontId="4" fillId="2" borderId="8" xfId="4" applyNumberFormat="1" applyFont="1" applyFill="1" applyBorder="1" applyAlignment="1">
      <alignment horizontal="center" vertical="center"/>
    </xf>
    <xf numFmtId="165" fontId="4" fillId="2" borderId="8" xfId="7" applyNumberFormat="1" applyFont="1" applyFill="1" applyBorder="1" applyAlignment="1">
      <alignment vertical="center"/>
    </xf>
    <xf numFmtId="164" fontId="4" fillId="0" borderId="8" xfId="8" applyNumberFormat="1" applyFont="1" applyFill="1" applyBorder="1"/>
    <xf numFmtId="9" fontId="2" fillId="2" borderId="0" xfId="54" applyFont="1" applyFill="1"/>
    <xf numFmtId="41" fontId="4" fillId="0" borderId="8" xfId="55" applyFont="1" applyFill="1" applyBorder="1"/>
    <xf numFmtId="3" fontId="2" fillId="2" borderId="8" xfId="4" applyNumberFormat="1" applyFont="1" applyFill="1" applyBorder="1"/>
    <xf numFmtId="164" fontId="4" fillId="2" borderId="8" xfId="8" applyNumberFormat="1" applyFont="1" applyFill="1" applyBorder="1"/>
    <xf numFmtId="0" fontId="2" fillId="11" borderId="0" xfId="3" applyFont="1" applyFill="1" applyAlignment="1">
      <alignment wrapText="1"/>
    </xf>
    <xf numFmtId="0" fontId="2" fillId="11" borderId="0" xfId="4" applyFont="1" applyFill="1"/>
    <xf numFmtId="165" fontId="3" fillId="11" borderId="8" xfId="7" applyNumberFormat="1" applyFont="1" applyFill="1" applyBorder="1" applyAlignment="1">
      <alignment horizontal="center"/>
    </xf>
    <xf numFmtId="0" fontId="2" fillId="11" borderId="8" xfId="4" applyFont="1" applyFill="1" applyBorder="1"/>
    <xf numFmtId="3" fontId="2" fillId="11" borderId="8" xfId="4" applyNumberFormat="1" applyFont="1" applyFill="1" applyBorder="1"/>
    <xf numFmtId="0" fontId="3" fillId="12" borderId="8" xfId="4" applyFont="1" applyFill="1" applyBorder="1" applyAlignment="1">
      <alignment horizontal="left"/>
    </xf>
    <xf numFmtId="3" fontId="2" fillId="12" borderId="8" xfId="4" applyNumberFormat="1" applyFont="1" applyFill="1" applyBorder="1"/>
    <xf numFmtId="165" fontId="3" fillId="12" borderId="8" xfId="7" applyNumberFormat="1" applyFont="1" applyFill="1" applyBorder="1" applyAlignment="1">
      <alignment horizontal="center"/>
    </xf>
    <xf numFmtId="3" fontId="2" fillId="0" borderId="0" xfId="4" applyNumberFormat="1" applyFont="1"/>
    <xf numFmtId="41" fontId="2" fillId="0" borderId="0" xfId="55" applyFont="1"/>
    <xf numFmtId="0" fontId="2" fillId="2" borderId="8" xfId="53" applyFont="1" applyFill="1" applyBorder="1" applyAlignment="1">
      <alignment horizontal="left"/>
    </xf>
    <xf numFmtId="0" fontId="23" fillId="2" borderId="8" xfId="57" applyFont="1" applyFill="1" applyBorder="1" applyAlignment="1">
      <alignment vertical="center"/>
    </xf>
    <xf numFmtId="0" fontId="4" fillId="0" borderId="0" xfId="3" applyFont="1" applyBorder="1" applyAlignment="1">
      <alignment horizontal="justify" vertical="top" wrapText="1"/>
    </xf>
    <xf numFmtId="164" fontId="3" fillId="5" borderId="8" xfId="18" applyNumberFormat="1" applyFont="1" applyFill="1" applyBorder="1" applyAlignment="1">
      <alignment vertical="center" wrapText="1"/>
    </xf>
    <xf numFmtId="164" fontId="26" fillId="9" borderId="8" xfId="18" applyNumberFormat="1" applyFont="1" applyFill="1" applyBorder="1" applyAlignment="1">
      <alignment vertical="center" wrapText="1"/>
    </xf>
    <xf numFmtId="164" fontId="2" fillId="0" borderId="0" xfId="18" applyNumberFormat="1" applyFont="1" applyBorder="1"/>
    <xf numFmtId="0" fontId="29" fillId="0" borderId="0" xfId="18" applyNumberFormat="1" applyFont="1" applyAlignment="1">
      <alignment horizontal="center" wrapText="1"/>
    </xf>
    <xf numFmtId="0" fontId="30" fillId="0" borderId="0" xfId="0" applyNumberFormat="1" applyFont="1" applyAlignment="1">
      <alignment horizontal="center" wrapText="1"/>
    </xf>
    <xf numFmtId="164" fontId="25" fillId="13" borderId="8" xfId="18" applyNumberFormat="1" applyFont="1" applyFill="1" applyBorder="1" applyAlignment="1">
      <alignment vertical="center" wrapText="1"/>
    </xf>
    <xf numFmtId="0" fontId="17" fillId="6" borderId="0" xfId="4" applyFont="1" applyFill="1" applyAlignment="1">
      <alignment vertical="center"/>
    </xf>
    <xf numFmtId="0" fontId="3" fillId="8" borderId="8" xfId="4" applyFont="1" applyFill="1" applyBorder="1" applyAlignment="1">
      <alignment horizontal="center" vertical="center"/>
    </xf>
    <xf numFmtId="165" fontId="3" fillId="8" borderId="8" xfId="1" applyNumberFormat="1" applyFont="1" applyFill="1" applyBorder="1" applyAlignment="1">
      <alignment horizontal="center" vertical="center"/>
    </xf>
    <xf numFmtId="3" fontId="2" fillId="0" borderId="0" xfId="4" applyNumberFormat="1" applyFont="1" applyAlignment="1">
      <alignment horizontal="center" vertical="center"/>
    </xf>
    <xf numFmtId="0" fontId="2" fillId="0" borderId="0" xfId="4" applyFont="1" applyAlignment="1">
      <alignment horizontal="center" vertical="center"/>
    </xf>
    <xf numFmtId="165" fontId="3" fillId="8" borderId="8" xfId="10" applyNumberFormat="1" applyFont="1" applyFill="1" applyBorder="1" applyAlignment="1">
      <alignment horizontal="center" vertical="center"/>
    </xf>
    <xf numFmtId="0" fontId="3" fillId="9" borderId="8" xfId="4" applyFont="1" applyFill="1" applyBorder="1" applyAlignment="1">
      <alignment horizontal="center" vertical="center"/>
    </xf>
    <xf numFmtId="164" fontId="3" fillId="9" borderId="8" xfId="9" applyNumberFormat="1" applyFont="1" applyFill="1" applyBorder="1" applyAlignment="1">
      <alignment horizontal="center" vertical="center"/>
    </xf>
    <xf numFmtId="165" fontId="2" fillId="0" borderId="0" xfId="4" applyNumberFormat="1" applyFont="1" applyAlignment="1">
      <alignment vertical="center"/>
    </xf>
    <xf numFmtId="0" fontId="23" fillId="0" borderId="8" xfId="13" applyFont="1" applyBorder="1" applyAlignment="1">
      <alignment vertical="center"/>
    </xf>
    <xf numFmtId="0" fontId="23" fillId="2" borderId="8" xfId="13" applyFont="1" applyFill="1" applyBorder="1" applyAlignment="1">
      <alignment vertical="center"/>
    </xf>
    <xf numFmtId="0" fontId="3" fillId="9" borderId="8" xfId="4" applyFont="1" applyFill="1" applyBorder="1" applyAlignment="1">
      <alignment horizontal="left" vertical="center"/>
    </xf>
    <xf numFmtId="0" fontId="2" fillId="9" borderId="8" xfId="4" applyFont="1" applyFill="1" applyBorder="1" applyAlignment="1">
      <alignment vertical="center"/>
    </xf>
    <xf numFmtId="3" fontId="2" fillId="9" borderId="8" xfId="4" applyNumberFormat="1" applyFont="1" applyFill="1" applyBorder="1" applyAlignment="1">
      <alignment vertical="center"/>
    </xf>
    <xf numFmtId="165" fontId="3" fillId="9" borderId="8" xfId="10" applyNumberFormat="1" applyFont="1" applyFill="1" applyBorder="1" applyAlignment="1">
      <alignment horizontal="center" vertical="center"/>
    </xf>
    <xf numFmtId="0" fontId="2" fillId="2" borderId="0" xfId="4" applyFont="1" applyFill="1" applyAlignment="1">
      <alignment vertical="center"/>
    </xf>
    <xf numFmtId="0" fontId="4" fillId="2" borderId="0" xfId="4" applyFont="1" applyFill="1" applyAlignment="1">
      <alignment horizontal="justify" vertical="center" wrapText="1"/>
    </xf>
    <xf numFmtId="164" fontId="2" fillId="0" borderId="8" xfId="18" applyNumberFormat="1" applyFont="1" applyBorder="1" applyAlignment="1">
      <alignment horizontal="right" vertical="center"/>
    </xf>
    <xf numFmtId="3" fontId="4" fillId="2" borderId="8" xfId="4" applyNumberFormat="1" applyFont="1" applyFill="1" applyBorder="1"/>
    <xf numFmtId="164" fontId="4" fillId="0" borderId="8" xfId="4" applyNumberFormat="1" applyFont="1" applyBorder="1" applyAlignment="1">
      <alignment vertical="center"/>
    </xf>
    <xf numFmtId="165" fontId="3" fillId="9" borderId="8" xfId="7" applyNumberFormat="1" applyFont="1" applyFill="1" applyBorder="1" applyAlignment="1">
      <alignment horizontal="center" vertical="center"/>
    </xf>
    <xf numFmtId="164" fontId="2" fillId="0" borderId="0" xfId="8" applyNumberFormat="1" applyFont="1" applyAlignment="1">
      <alignment vertical="center"/>
    </xf>
    <xf numFmtId="9" fontId="2" fillId="0" borderId="0" xfId="4" applyNumberFormat="1" applyFont="1"/>
    <xf numFmtId="164" fontId="2" fillId="0" borderId="0" xfId="18" applyNumberFormat="1" applyFont="1" applyAlignment="1">
      <alignment vertical="center"/>
    </xf>
    <xf numFmtId="9" fontId="2" fillId="0" borderId="0" xfId="54" applyFont="1" applyAlignment="1">
      <alignment vertical="center"/>
    </xf>
    <xf numFmtId="164" fontId="2" fillId="2" borderId="8" xfId="8" applyNumberFormat="1" applyFont="1" applyFill="1" applyBorder="1"/>
    <xf numFmtId="0" fontId="4" fillId="2" borderId="12" xfId="4" applyFont="1" applyFill="1" applyBorder="1" applyAlignment="1">
      <alignment horizontal="justify" vertical="center" wrapText="1"/>
    </xf>
    <xf numFmtId="165" fontId="4" fillId="2" borderId="8" xfId="1" applyNumberFormat="1" applyFont="1" applyFill="1" applyBorder="1" applyAlignment="1">
      <alignment horizontal="center" vertical="center"/>
    </xf>
    <xf numFmtId="0" fontId="23" fillId="2" borderId="8" xfId="57" applyFont="1" applyFill="1" applyBorder="1" applyAlignment="1">
      <alignment vertical="center" wrapText="1"/>
    </xf>
    <xf numFmtId="3" fontId="4" fillId="2" borderId="8" xfId="3" applyNumberFormat="1" applyFont="1" applyFill="1" applyBorder="1"/>
    <xf numFmtId="0" fontId="4" fillId="2" borderId="0" xfId="4" applyFont="1" applyFill="1" applyAlignment="1">
      <alignment horizontal="justify" vertical="center"/>
    </xf>
    <xf numFmtId="0" fontId="26" fillId="9" borderId="8" xfId="18" applyNumberFormat="1" applyFont="1" applyFill="1" applyBorder="1" applyAlignment="1">
      <alignment vertical="center" wrapText="1"/>
    </xf>
    <xf numFmtId="0" fontId="2" fillId="0" borderId="0" xfId="18" applyNumberFormat="1" applyFont="1"/>
    <xf numFmtId="0" fontId="27" fillId="2" borderId="8" xfId="18" applyNumberFormat="1" applyFont="1" applyFill="1" applyBorder="1" applyAlignment="1">
      <alignment vertical="center" wrapText="1"/>
    </xf>
    <xf numFmtId="0" fontId="27" fillId="2" borderId="8" xfId="18" applyNumberFormat="1" applyFont="1" applyFill="1" applyBorder="1" applyAlignment="1">
      <alignment vertical="justify" wrapText="1"/>
    </xf>
    <xf numFmtId="0" fontId="27" fillId="2" borderId="11" xfId="18" applyNumberFormat="1" applyFont="1" applyFill="1" applyBorder="1" applyAlignment="1">
      <alignment vertical="center" wrapText="1"/>
    </xf>
    <xf numFmtId="0" fontId="25" fillId="13" borderId="8" xfId="18" applyNumberFormat="1" applyFont="1" applyFill="1" applyBorder="1" applyAlignment="1">
      <alignment vertical="center" wrapText="1"/>
    </xf>
    <xf numFmtId="0" fontId="5" fillId="2" borderId="0" xfId="18" applyNumberFormat="1" applyFont="1" applyFill="1" applyBorder="1"/>
    <xf numFmtId="9" fontId="4" fillId="0" borderId="8" xfId="4" applyNumberFormat="1" applyFont="1" applyBorder="1"/>
    <xf numFmtId="0" fontId="4" fillId="2" borderId="0" xfId="4" applyFont="1" applyFill="1" applyBorder="1" applyAlignment="1">
      <alignment horizontal="justify" wrapText="1"/>
    </xf>
    <xf numFmtId="164" fontId="2" fillId="0" borderId="0" xfId="13" applyNumberFormat="1" applyFont="1" applyBorder="1"/>
    <xf numFmtId="0" fontId="13" fillId="2" borderId="0" xfId="4" applyFont="1" applyFill="1" applyBorder="1" applyAlignment="1">
      <alignment horizontal="justify" vertical="top" wrapText="1"/>
    </xf>
    <xf numFmtId="3" fontId="3" fillId="13" borderId="8" xfId="4" applyNumberFormat="1" applyFont="1" applyFill="1" applyBorder="1"/>
    <xf numFmtId="3" fontId="3" fillId="9" borderId="24" xfId="4" applyNumberFormat="1" applyFont="1" applyFill="1" applyBorder="1"/>
    <xf numFmtId="0" fontId="3" fillId="9" borderId="8" xfId="3" applyFont="1" applyFill="1" applyBorder="1" applyAlignment="1">
      <alignment horizontal="center" wrapText="1"/>
    </xf>
    <xf numFmtId="164" fontId="24" fillId="5" borderId="8" xfId="8" applyNumberFormat="1" applyFont="1" applyFill="1" applyBorder="1" applyAlignment="1">
      <alignment horizontal="center" vertical="center" wrapText="1"/>
    </xf>
    <xf numFmtId="10" fontId="2" fillId="0" borderId="8" xfId="54" applyNumberFormat="1" applyFont="1" applyBorder="1"/>
    <xf numFmtId="0" fontId="4" fillId="0" borderId="0" xfId="3" applyFont="1" applyAlignment="1">
      <alignment horizontal="justify" vertical="top" wrapText="1"/>
    </xf>
    <xf numFmtId="0" fontId="4" fillId="2" borderId="0" xfId="4" applyFont="1" applyFill="1" applyAlignment="1">
      <alignment horizontal="justify" vertical="top" wrapText="1"/>
    </xf>
    <xf numFmtId="0" fontId="2" fillId="0" borderId="0" xfId="3" applyFont="1" applyAlignment="1">
      <alignment wrapText="1"/>
    </xf>
    <xf numFmtId="0" fontId="29" fillId="0" borderId="0" xfId="18" applyNumberFormat="1" applyFont="1" applyAlignment="1">
      <alignment horizontal="center" wrapText="1"/>
    </xf>
    <xf numFmtId="0" fontId="30" fillId="0" borderId="0" xfId="0" applyNumberFormat="1" applyFont="1" applyAlignment="1">
      <alignment horizontal="center" wrapText="1"/>
    </xf>
    <xf numFmtId="0" fontId="21" fillId="10" borderId="26" xfId="50" applyFont="1" applyFill="1" applyBorder="1" applyAlignment="1">
      <alignment horizontal="center" vertical="center" wrapText="1"/>
    </xf>
    <xf numFmtId="0" fontId="21" fillId="10" borderId="26" xfId="50" applyFont="1" applyFill="1" applyBorder="1" applyAlignment="1">
      <alignment horizontal="center" vertical="center"/>
    </xf>
    <xf numFmtId="0" fontId="5" fillId="2" borderId="0" xfId="50" applyFont="1" applyFill="1"/>
    <xf numFmtId="0" fontId="5" fillId="2" borderId="0" xfId="50" applyFont="1" applyFill="1" applyAlignment="1">
      <alignment horizontal="left"/>
    </xf>
    <xf numFmtId="0" fontId="11" fillId="0" borderId="0" xfId="4" applyFont="1"/>
    <xf numFmtId="0" fontId="4" fillId="0" borderId="0" xfId="4" applyFont="1"/>
    <xf numFmtId="0" fontId="11" fillId="2" borderId="0" xfId="4" applyFont="1" applyFill="1"/>
    <xf numFmtId="0" fontId="11" fillId="6" borderId="0" xfId="4" applyFont="1" applyFill="1"/>
    <xf numFmtId="0" fontId="4" fillId="6" borderId="0" xfId="4" applyFont="1" applyFill="1"/>
    <xf numFmtId="0" fontId="4" fillId="7" borderId="0" xfId="4" applyFont="1" applyFill="1"/>
    <xf numFmtId="0" fontId="11" fillId="0" borderId="8" xfId="4" applyFont="1" applyBorder="1" applyAlignment="1">
      <alignment horizontal="center"/>
    </xf>
    <xf numFmtId="0" fontId="11" fillId="8" borderId="8" xfId="4" applyFont="1" applyFill="1" applyBorder="1" applyAlignment="1">
      <alignment horizontal="center"/>
    </xf>
    <xf numFmtId="0" fontId="11" fillId="8" borderId="8" xfId="4" applyFont="1" applyFill="1" applyBorder="1" applyAlignment="1">
      <alignment horizontal="center" vertical="center"/>
    </xf>
    <xf numFmtId="3" fontId="11" fillId="8" borderId="8" xfId="4" applyNumberFormat="1" applyFont="1" applyFill="1" applyBorder="1" applyAlignment="1">
      <alignment horizontal="center"/>
    </xf>
    <xf numFmtId="3" fontId="4" fillId="0" borderId="0" xfId="4" applyNumberFormat="1" applyFont="1" applyAlignment="1">
      <alignment horizontal="center"/>
    </xf>
    <xf numFmtId="0" fontId="4" fillId="0" borderId="0" xfId="4" applyFont="1" applyAlignment="1">
      <alignment horizontal="center"/>
    </xf>
    <xf numFmtId="165" fontId="11" fillId="8" borderId="8" xfId="10" applyNumberFormat="1" applyFont="1" applyFill="1" applyBorder="1" applyAlignment="1">
      <alignment horizontal="center"/>
    </xf>
    <xf numFmtId="0" fontId="11" fillId="2" borderId="0" xfId="4" applyFont="1" applyFill="1" applyAlignment="1">
      <alignment horizontal="center"/>
    </xf>
    <xf numFmtId="165" fontId="11" fillId="2" borderId="0" xfId="10" applyNumberFormat="1" applyFont="1" applyFill="1" applyBorder="1" applyAlignment="1">
      <alignment horizontal="center"/>
    </xf>
    <xf numFmtId="165" fontId="4" fillId="2" borderId="0" xfId="10" applyNumberFormat="1" applyFont="1" applyFill="1" applyBorder="1" applyAlignment="1">
      <alignment horizontal="center"/>
    </xf>
    <xf numFmtId="0" fontId="4" fillId="2" borderId="0" xfId="4" applyFont="1" applyFill="1" applyAlignment="1">
      <alignment horizontal="center"/>
    </xf>
    <xf numFmtId="0" fontId="11" fillId="2" borderId="0" xfId="4" applyFont="1" applyFill="1" applyAlignment="1">
      <alignment horizontal="left" wrapText="1"/>
    </xf>
    <xf numFmtId="3" fontId="4" fillId="2" borderId="0" xfId="4" applyNumberFormat="1" applyFont="1" applyFill="1"/>
    <xf numFmtId="0" fontId="11" fillId="9" borderId="8" xfId="4" applyFont="1" applyFill="1" applyBorder="1" applyAlignment="1">
      <alignment horizontal="center"/>
    </xf>
    <xf numFmtId="164" fontId="11" fillId="9" borderId="8" xfId="9" applyNumberFormat="1" applyFont="1" applyFill="1" applyBorder="1" applyAlignment="1">
      <alignment horizontal="center"/>
    </xf>
    <xf numFmtId="165" fontId="4" fillId="0" borderId="0" xfId="4" applyNumberFormat="1" applyFont="1"/>
    <xf numFmtId="0" fontId="4" fillId="0" borderId="8" xfId="4" applyFont="1" applyBorder="1" applyAlignment="1">
      <alignment horizontal="center" vertical="center"/>
    </xf>
    <xf numFmtId="0" fontId="4" fillId="0" borderId="8" xfId="4" applyFont="1" applyBorder="1" applyAlignment="1">
      <alignment horizontal="left" vertical="center"/>
    </xf>
    <xf numFmtId="164" fontId="4" fillId="0" borderId="8" xfId="8" applyNumberFormat="1" applyFont="1" applyBorder="1" applyAlignment="1">
      <alignment horizontal="right" vertical="center"/>
    </xf>
    <xf numFmtId="3" fontId="4" fillId="0" borderId="8" xfId="4" applyNumberFormat="1" applyFont="1" applyBorder="1" applyAlignment="1">
      <alignment horizontal="right" vertical="center"/>
    </xf>
    <xf numFmtId="0" fontId="4" fillId="0" borderId="8" xfId="0" applyFont="1" applyBorder="1" applyAlignment="1">
      <alignment horizontal="center"/>
    </xf>
    <xf numFmtId="0" fontId="4" fillId="0" borderId="8" xfId="0" applyFont="1" applyBorder="1" applyAlignment="1">
      <alignment horizontal="left"/>
    </xf>
    <xf numFmtId="3" fontId="4" fillId="0" borderId="8" xfId="0" applyNumberFormat="1" applyFont="1" applyBorder="1"/>
    <xf numFmtId="9" fontId="4" fillId="2" borderId="8" xfId="54" applyFont="1" applyFill="1" applyBorder="1"/>
    <xf numFmtId="3" fontId="4" fillId="0" borderId="8" xfId="0" applyNumberFormat="1" applyFont="1" applyBorder="1" applyAlignment="1">
      <alignment horizontal="right"/>
    </xf>
    <xf numFmtId="164" fontId="4" fillId="0" borderId="0" xfId="8" applyNumberFormat="1" applyFont="1" applyAlignment="1">
      <alignment horizontal="justify" wrapText="1"/>
    </xf>
    <xf numFmtId="9" fontId="4" fillId="2" borderId="8" xfId="0" applyNumberFormat="1" applyFont="1" applyFill="1" applyBorder="1"/>
    <xf numFmtId="164" fontId="4" fillId="0" borderId="0" xfId="8" applyNumberFormat="1" applyFont="1"/>
    <xf numFmtId="0" fontId="11" fillId="9" borderId="8" xfId="4" applyFont="1" applyFill="1" applyBorder="1" applyAlignment="1">
      <alignment horizontal="left"/>
    </xf>
    <xf numFmtId="0" fontId="4" fillId="9" borderId="8" xfId="4" applyFont="1" applyFill="1" applyBorder="1"/>
    <xf numFmtId="3" fontId="4" fillId="9" borderId="8" xfId="4" applyNumberFormat="1" applyFont="1" applyFill="1" applyBorder="1"/>
    <xf numFmtId="165" fontId="11" fillId="9" borderId="9" xfId="10" applyNumberFormat="1" applyFont="1" applyFill="1" applyBorder="1" applyAlignment="1">
      <alignment horizontal="center"/>
    </xf>
    <xf numFmtId="164" fontId="4" fillId="2" borderId="0" xfId="8" applyNumberFormat="1" applyFont="1" applyFill="1"/>
    <xf numFmtId="0" fontId="4" fillId="2" borderId="27" xfId="56" applyFont="1" applyFill="1" applyBorder="1" applyAlignment="1">
      <alignment horizontal="justify" vertical="center" wrapText="1"/>
    </xf>
    <xf numFmtId="0" fontId="4" fillId="0" borderId="12" xfId="3" applyFont="1" applyBorder="1" applyAlignment="1">
      <alignment wrapText="1"/>
    </xf>
    <xf numFmtId="0" fontId="4" fillId="0" borderId="0" xfId="3" applyFont="1" applyAlignment="1">
      <alignment wrapText="1"/>
    </xf>
    <xf numFmtId="164" fontId="11" fillId="0" borderId="0" xfId="9" applyNumberFormat="1" applyFont="1" applyBorder="1"/>
    <xf numFmtId="0" fontId="4" fillId="0" borderId="8" xfId="57" applyFont="1" applyBorder="1" applyAlignment="1">
      <alignment horizontal="left" vertical="center"/>
    </xf>
    <xf numFmtId="165" fontId="11" fillId="9" borderId="8" xfId="7" applyNumberFormat="1" applyFont="1" applyFill="1" applyBorder="1" applyAlignment="1">
      <alignment horizontal="center"/>
    </xf>
    <xf numFmtId="0" fontId="11" fillId="8" borderId="28" xfId="57" applyFont="1" applyFill="1" applyBorder="1" applyAlignment="1">
      <alignment horizontal="center" vertical="center"/>
    </xf>
    <xf numFmtId="0" fontId="4" fillId="0" borderId="8" xfId="0" applyFont="1" applyBorder="1" applyAlignment="1">
      <alignment horizontal="justify" vertical="center"/>
    </xf>
    <xf numFmtId="0" fontId="4" fillId="0" borderId="8" xfId="57" applyFont="1" applyBorder="1"/>
    <xf numFmtId="164" fontId="4" fillId="0" borderId="8" xfId="9" applyNumberFormat="1" applyFont="1" applyBorder="1"/>
    <xf numFmtId="0" fontId="4" fillId="0" borderId="8" xfId="0" applyFont="1" applyBorder="1"/>
    <xf numFmtId="0" fontId="4" fillId="0" borderId="8" xfId="57" applyFont="1" applyBorder="1" applyAlignment="1">
      <alignment horizontal="center"/>
    </xf>
    <xf numFmtId="9" fontId="4" fillId="0" borderId="8" xfId="57" applyNumberFormat="1" applyFont="1" applyBorder="1"/>
    <xf numFmtId="0" fontId="4" fillId="8" borderId="28" xfId="57" applyFont="1" applyFill="1" applyBorder="1" applyAlignment="1">
      <alignment horizontal="center" vertical="center"/>
    </xf>
    <xf numFmtId="3" fontId="4" fillId="8" borderId="28" xfId="57" applyNumberFormat="1" applyFont="1" applyFill="1" applyBorder="1" applyAlignment="1">
      <alignment horizontal="center" vertical="center"/>
    </xf>
    <xf numFmtId="165" fontId="11" fillId="8" borderId="28" xfId="58" applyNumberFormat="1" applyFont="1" applyFill="1" applyBorder="1" applyAlignment="1">
      <alignment horizontal="right" vertical="center"/>
    </xf>
    <xf numFmtId="0" fontId="4" fillId="2" borderId="27" xfId="57" applyFont="1" applyFill="1" applyBorder="1" applyAlignment="1">
      <alignment horizontal="justify" vertical="center" wrapText="1"/>
    </xf>
    <xf numFmtId="0" fontId="4" fillId="0" borderId="0" xfId="57" applyFont="1" applyAlignment="1">
      <alignment vertical="center" wrapText="1"/>
    </xf>
    <xf numFmtId="0" fontId="11" fillId="8" borderId="8" xfId="57" applyFont="1" applyFill="1" applyBorder="1" applyAlignment="1">
      <alignment horizontal="center" vertical="center"/>
    </xf>
    <xf numFmtId="164" fontId="11" fillId="8" borderId="8" xfId="41" applyNumberFormat="1" applyFont="1" applyFill="1" applyBorder="1" applyAlignment="1">
      <alignment horizontal="center" vertical="center"/>
    </xf>
    <xf numFmtId="0" fontId="4" fillId="0" borderId="8" xfId="53" applyFont="1" applyBorder="1" applyAlignment="1">
      <alignment horizontal="center"/>
    </xf>
    <xf numFmtId="0" fontId="4" fillId="0" borderId="8" xfId="53" applyFont="1" applyBorder="1" applyAlignment="1">
      <alignment horizontal="left"/>
    </xf>
    <xf numFmtId="9" fontId="4" fillId="2" borderId="8" xfId="53" applyNumberFormat="1" applyFont="1" applyFill="1" applyBorder="1"/>
    <xf numFmtId="0" fontId="4" fillId="0" borderId="8" xfId="53" applyFont="1" applyBorder="1"/>
    <xf numFmtId="0" fontId="4" fillId="2" borderId="8" xfId="53" applyFont="1" applyFill="1" applyBorder="1" applyAlignment="1">
      <alignment horizontal="left"/>
    </xf>
    <xf numFmtId="0" fontId="4" fillId="0" borderId="8" xfId="57" applyFont="1" applyBorder="1" applyAlignment="1">
      <alignment vertical="center"/>
    </xf>
    <xf numFmtId="0" fontId="4" fillId="0" borderId="8" xfId="57" applyFont="1" applyBorder="1" applyAlignment="1">
      <alignment horizontal="center" vertical="center"/>
    </xf>
    <xf numFmtId="164" fontId="4" fillId="0" borderId="8" xfId="14" applyNumberFormat="1" applyFont="1" applyBorder="1" applyAlignment="1">
      <alignment vertical="center"/>
    </xf>
    <xf numFmtId="9" fontId="4" fillId="0" borderId="8" xfId="57" applyNumberFormat="1" applyFont="1" applyBorder="1" applyAlignment="1">
      <alignment vertical="center"/>
    </xf>
    <xf numFmtId="164" fontId="4" fillId="0" borderId="8" xfId="14" applyNumberFormat="1" applyFont="1" applyBorder="1" applyAlignment="1">
      <alignment horizontal="center" vertical="center"/>
    </xf>
    <xf numFmtId="0" fontId="11" fillId="8" borderId="8" xfId="57" applyFont="1" applyFill="1" applyBorder="1" applyAlignment="1">
      <alignment horizontal="left" vertical="center"/>
    </xf>
    <xf numFmtId="0" fontId="4" fillId="8" borderId="8" xfId="57" applyFont="1" applyFill="1" applyBorder="1" applyAlignment="1">
      <alignment vertical="center"/>
    </xf>
    <xf numFmtId="3" fontId="4" fillId="8" borderId="8" xfId="57" applyNumberFormat="1" applyFont="1" applyFill="1" applyBorder="1" applyAlignment="1">
      <alignment vertical="center"/>
    </xf>
    <xf numFmtId="165" fontId="11" fillId="8" borderId="8" xfId="58" applyNumberFormat="1" applyFont="1" applyFill="1" applyBorder="1" applyAlignment="1">
      <alignment horizontal="right" vertical="center"/>
    </xf>
    <xf numFmtId="0" fontId="4" fillId="2" borderId="0" xfId="57" applyFont="1" applyFill="1" applyAlignment="1">
      <alignment horizontal="justify" vertical="center" wrapText="1"/>
    </xf>
    <xf numFmtId="0" fontId="4" fillId="2" borderId="0" xfId="57" applyFont="1" applyFill="1" applyAlignment="1">
      <alignment vertical="center" wrapText="1"/>
    </xf>
    <xf numFmtId="0" fontId="11" fillId="8" borderId="29" xfId="57" applyFont="1" applyFill="1" applyBorder="1" applyAlignment="1">
      <alignment horizontal="center" vertical="center"/>
    </xf>
    <xf numFmtId="0" fontId="11" fillId="8" borderId="30" xfId="57" applyFont="1" applyFill="1" applyBorder="1" applyAlignment="1">
      <alignment horizontal="center" vertical="center"/>
    </xf>
    <xf numFmtId="0" fontId="4" fillId="8" borderId="30" xfId="57" applyFont="1" applyFill="1" applyBorder="1" applyAlignment="1">
      <alignment vertical="center"/>
    </xf>
    <xf numFmtId="3" fontId="4" fillId="8" borderId="30" xfId="57" applyNumberFormat="1" applyFont="1" applyFill="1" applyBorder="1" applyAlignment="1">
      <alignment vertical="center"/>
    </xf>
    <xf numFmtId="165" fontId="11" fillId="8" borderId="30" xfId="58" applyNumberFormat="1" applyFont="1" applyFill="1" applyBorder="1" applyAlignment="1">
      <alignment horizontal="center" vertical="center"/>
    </xf>
    <xf numFmtId="0" fontId="4" fillId="2" borderId="27" xfId="57" applyFont="1" applyFill="1" applyBorder="1" applyAlignment="1">
      <alignment vertical="center" wrapText="1"/>
    </xf>
    <xf numFmtId="10" fontId="30" fillId="0" borderId="0" xfId="0" applyNumberFormat="1" applyFont="1" applyAlignment="1">
      <alignment horizontal="center" wrapText="1"/>
    </xf>
    <xf numFmtId="10" fontId="3" fillId="5" borderId="8" xfId="18" applyNumberFormat="1" applyFont="1" applyFill="1" applyBorder="1" applyAlignment="1">
      <alignment horizontal="center" vertical="center" wrapText="1"/>
    </xf>
    <xf numFmtId="10" fontId="26" fillId="9" borderId="8" xfId="54" applyNumberFormat="1" applyFont="1" applyFill="1" applyBorder="1" applyAlignment="1">
      <alignment vertical="center" wrapText="1"/>
    </xf>
    <xf numFmtId="10" fontId="25" fillId="13" borderId="8" xfId="54" applyNumberFormat="1" applyFont="1" applyFill="1" applyBorder="1" applyAlignment="1">
      <alignment vertical="center" wrapText="1"/>
    </xf>
    <xf numFmtId="10" fontId="2" fillId="0" borderId="0" xfId="18" applyNumberFormat="1" applyFont="1" applyBorder="1"/>
    <xf numFmtId="10" fontId="2" fillId="0" borderId="0" xfId="18" applyNumberFormat="1" applyFont="1"/>
    <xf numFmtId="0" fontId="2" fillId="0" borderId="0" xfId="3" applyFont="1" applyAlignment="1">
      <alignment wrapText="1"/>
    </xf>
    <xf numFmtId="0" fontId="2" fillId="0" borderId="8" xfId="4" applyFont="1" applyBorder="1" applyAlignment="1">
      <alignment wrapText="1"/>
    </xf>
    <xf numFmtId="0" fontId="3" fillId="2" borderId="0" xfId="4" applyFont="1" applyFill="1" applyAlignment="1">
      <alignment horizontal="left" wrapText="1"/>
    </xf>
    <xf numFmtId="0" fontId="11" fillId="2" borderId="0" xfId="4" applyFont="1" applyFill="1" applyBorder="1" applyAlignment="1">
      <alignment horizontal="left"/>
    </xf>
    <xf numFmtId="0" fontId="4" fillId="2" borderId="0" xfId="4" applyFont="1" applyFill="1" applyBorder="1"/>
    <xf numFmtId="3" fontId="4" fillId="2" borderId="0" xfId="4" applyNumberFormat="1" applyFont="1" applyFill="1" applyBorder="1"/>
    <xf numFmtId="165" fontId="11" fillId="2" borderId="0" xfId="7" applyNumberFormat="1" applyFont="1" applyFill="1" applyBorder="1" applyAlignment="1">
      <alignment horizontal="center"/>
    </xf>
    <xf numFmtId="0" fontId="11" fillId="0" borderId="0" xfId="3" applyFont="1" applyAlignment="1">
      <alignment horizontal="justify" vertical="top" wrapText="1"/>
    </xf>
    <xf numFmtId="164" fontId="3" fillId="9" borderId="8" xfId="18" applyNumberFormat="1" applyFont="1" applyFill="1" applyBorder="1" applyAlignment="1">
      <alignment horizontal="left"/>
    </xf>
    <xf numFmtId="164" fontId="3" fillId="9" borderId="8" xfId="18" applyNumberFormat="1" applyFont="1" applyFill="1" applyBorder="1" applyAlignment="1">
      <alignment horizontal="center"/>
    </xf>
    <xf numFmtId="0" fontId="3" fillId="8" borderId="8" xfId="4" applyFont="1" applyFill="1" applyBorder="1"/>
    <xf numFmtId="164" fontId="11" fillId="8" borderId="8" xfId="8" applyNumberFormat="1" applyFont="1" applyFill="1" applyBorder="1"/>
    <xf numFmtId="0" fontId="3" fillId="12" borderId="8" xfId="4" applyFont="1" applyFill="1" applyBorder="1"/>
    <xf numFmtId="164" fontId="11" fillId="12" borderId="8" xfId="8" applyNumberFormat="1" applyFont="1" applyFill="1" applyBorder="1"/>
    <xf numFmtId="164" fontId="4" fillId="0" borderId="0" xfId="8" applyNumberFormat="1" applyFont="1" applyFill="1" applyBorder="1"/>
    <xf numFmtId="14" fontId="23" fillId="2" borderId="8" xfId="0" applyNumberFormat="1" applyFont="1" applyFill="1" applyBorder="1" applyAlignment="1">
      <alignment horizontal="center" vertical="center"/>
    </xf>
    <xf numFmtId="165" fontId="23" fillId="2" borderId="8" xfId="0" applyNumberFormat="1" applyFont="1" applyFill="1" applyBorder="1" applyAlignment="1">
      <alignment horizontal="center" vertical="center"/>
    </xf>
    <xf numFmtId="0" fontId="3" fillId="12" borderId="11" xfId="4" applyFont="1" applyFill="1" applyBorder="1"/>
    <xf numFmtId="0" fontId="2" fillId="0" borderId="0" xfId="3" applyFont="1" applyBorder="1" applyAlignment="1">
      <alignment horizontal="justify" vertical="top" wrapText="1"/>
    </xf>
    <xf numFmtId="0" fontId="3" fillId="14" borderId="8" xfId="4" applyFont="1" applyFill="1" applyBorder="1" applyAlignment="1">
      <alignment horizontal="left"/>
    </xf>
    <xf numFmtId="165" fontId="3" fillId="14" borderId="8" xfId="10" applyNumberFormat="1" applyFont="1" applyFill="1" applyBorder="1" applyAlignment="1">
      <alignment horizontal="center"/>
    </xf>
    <xf numFmtId="165" fontId="3" fillId="12" borderId="8" xfId="3" applyNumberFormat="1" applyFont="1" applyFill="1" applyBorder="1" applyAlignment="1">
      <alignment wrapText="1"/>
    </xf>
    <xf numFmtId="0" fontId="12" fillId="0" borderId="0" xfId="3" applyFont="1" applyAlignment="1">
      <alignment horizontal="justify" vertical="top" wrapText="1"/>
    </xf>
    <xf numFmtId="0" fontId="31" fillId="2" borderId="12" xfId="4" applyFont="1" applyFill="1" applyBorder="1" applyAlignment="1">
      <alignment horizontal="justify" vertical="top" wrapText="1"/>
    </xf>
    <xf numFmtId="0" fontId="31" fillId="2" borderId="0" xfId="4" applyFont="1" applyFill="1" applyBorder="1" applyAlignment="1">
      <alignment horizontal="justify" vertical="top" wrapText="1"/>
    </xf>
    <xf numFmtId="0" fontId="2" fillId="0" borderId="0" xfId="3" applyFont="1" applyAlignment="1">
      <alignment wrapText="1"/>
    </xf>
    <xf numFmtId="0" fontId="3" fillId="2" borderId="0" xfId="4" applyFont="1" applyFill="1" applyAlignment="1">
      <alignment horizontal="left" wrapText="1"/>
    </xf>
    <xf numFmtId="3" fontId="4" fillId="2" borderId="8" xfId="4" applyNumberFormat="1" applyFont="1" applyFill="1" applyBorder="1" applyAlignment="1">
      <alignment vertical="center"/>
    </xf>
    <xf numFmtId="0" fontId="4" fillId="2" borderId="8" xfId="4" applyFont="1" applyFill="1" applyBorder="1" applyAlignment="1">
      <alignment horizontal="center" vertical="center"/>
    </xf>
    <xf numFmtId="0" fontId="29" fillId="0" borderId="0" xfId="18" applyNumberFormat="1" applyFont="1" applyAlignment="1">
      <alignment horizontal="center" wrapText="1"/>
    </xf>
    <xf numFmtId="164" fontId="3" fillId="2" borderId="8" xfId="8" applyNumberFormat="1" applyFont="1" applyFill="1" applyBorder="1" applyAlignment="1">
      <alignment horizontal="center" vertical="center" wrapText="1"/>
    </xf>
    <xf numFmtId="0" fontId="2" fillId="2" borderId="0" xfId="18" applyNumberFormat="1" applyFont="1" applyFill="1"/>
    <xf numFmtId="0" fontId="3" fillId="2" borderId="0" xfId="18" applyNumberFormat="1" applyFont="1" applyFill="1"/>
    <xf numFmtId="0" fontId="24" fillId="2" borderId="0" xfId="18" applyNumberFormat="1" applyFont="1" applyFill="1" applyBorder="1"/>
    <xf numFmtId="9" fontId="26" fillId="15" borderId="8" xfId="54" applyFont="1" applyFill="1" applyBorder="1" applyAlignment="1">
      <alignment horizontal="center" vertical="center" wrapText="1"/>
    </xf>
    <xf numFmtId="164" fontId="26" fillId="15" borderId="8" xfId="18" applyNumberFormat="1" applyFont="1" applyFill="1" applyBorder="1" applyAlignment="1">
      <alignment horizontal="center" vertical="center" wrapText="1"/>
    </xf>
    <xf numFmtId="164" fontId="2" fillId="2" borderId="8" xfId="18" applyNumberFormat="1" applyFont="1" applyFill="1" applyBorder="1" applyAlignment="1">
      <alignment horizontal="center" vertical="center"/>
    </xf>
    <xf numFmtId="9" fontId="2" fillId="2" borderId="8" xfId="54" applyFont="1" applyFill="1" applyBorder="1" applyAlignment="1">
      <alignment horizontal="center" vertical="center"/>
    </xf>
    <xf numFmtId="9" fontId="2" fillId="2" borderId="8" xfId="18" applyNumberFormat="1" applyFont="1" applyFill="1" applyBorder="1" applyAlignment="1">
      <alignment horizontal="center" vertical="center"/>
    </xf>
    <xf numFmtId="0" fontId="2" fillId="2" borderId="8" xfId="18" applyNumberFormat="1" applyFont="1" applyFill="1" applyBorder="1" applyAlignment="1">
      <alignment horizontal="center" vertical="center"/>
    </xf>
    <xf numFmtId="164" fontId="3" fillId="15" borderId="8" xfId="18" applyNumberFormat="1" applyFont="1" applyFill="1" applyBorder="1" applyAlignment="1">
      <alignment horizontal="center" vertical="center"/>
    </xf>
    <xf numFmtId="164" fontId="2" fillId="15" borderId="8" xfId="18" applyNumberFormat="1" applyFont="1" applyFill="1" applyBorder="1" applyAlignment="1">
      <alignment horizontal="center" vertical="center"/>
    </xf>
    <xf numFmtId="9" fontId="3" fillId="15" borderId="8" xfId="54" applyFont="1" applyFill="1" applyBorder="1" applyAlignment="1">
      <alignment horizontal="center" vertical="center"/>
    </xf>
    <xf numFmtId="0" fontId="3" fillId="15" borderId="8" xfId="18" applyNumberFormat="1" applyFont="1" applyFill="1" applyBorder="1" applyAlignment="1">
      <alignment horizontal="center" vertical="center"/>
    </xf>
    <xf numFmtId="0" fontId="29" fillId="0" borderId="0" xfId="18" applyNumberFormat="1" applyFont="1" applyAlignment="1">
      <alignment horizontal="left" wrapText="1"/>
    </xf>
    <xf numFmtId="164" fontId="2" fillId="0" borderId="0" xfId="18" applyNumberFormat="1" applyFont="1" applyAlignment="1">
      <alignment horizontal="left"/>
    </xf>
    <xf numFmtId="164" fontId="3" fillId="4" borderId="8" xfId="8" applyNumberFormat="1" applyFont="1" applyFill="1" applyBorder="1" applyAlignment="1">
      <alignment horizontal="center" vertical="center" wrapText="1"/>
    </xf>
    <xf numFmtId="164" fontId="3" fillId="2" borderId="0" xfId="18" applyNumberFormat="1" applyFont="1" applyFill="1"/>
    <xf numFmtId="164" fontId="3" fillId="12" borderId="8" xfId="8" applyNumberFormat="1" applyFont="1" applyFill="1" applyBorder="1" applyAlignment="1">
      <alignment horizontal="center" vertical="center" wrapText="1"/>
    </xf>
    <xf numFmtId="164" fontId="24" fillId="13" borderId="10" xfId="18" applyNumberFormat="1" applyFont="1" applyFill="1" applyBorder="1" applyAlignment="1">
      <alignment horizontal="center" vertical="center"/>
    </xf>
    <xf numFmtId="166" fontId="24" fillId="4" borderId="8" xfId="54" applyNumberFormat="1" applyFont="1" applyFill="1" applyBorder="1" applyAlignment="1">
      <alignment horizontal="center" vertical="center" wrapText="1"/>
    </xf>
    <xf numFmtId="164" fontId="24" fillId="4" borderId="8" xfId="18" applyNumberFormat="1" applyFont="1" applyFill="1" applyBorder="1" applyAlignment="1">
      <alignment horizontal="center" vertical="center" wrapText="1"/>
    </xf>
    <xf numFmtId="164" fontId="24" fillId="12" borderId="8" xfId="18" applyNumberFormat="1" applyFont="1" applyFill="1" applyBorder="1" applyAlignment="1">
      <alignment horizontal="center" vertical="center" wrapText="1"/>
    </xf>
    <xf numFmtId="164" fontId="24" fillId="2" borderId="8" xfId="18" applyNumberFormat="1" applyFont="1" applyFill="1" applyBorder="1" applyAlignment="1">
      <alignment horizontal="center" vertical="center" wrapText="1"/>
    </xf>
    <xf numFmtId="164" fontId="24" fillId="4" borderId="8" xfId="8" applyNumberFormat="1" applyFont="1" applyFill="1" applyBorder="1" applyAlignment="1">
      <alignment horizontal="center" vertical="center" wrapText="1"/>
    </xf>
    <xf numFmtId="164" fontId="3" fillId="12" borderId="8" xfId="8" applyNumberFormat="1" applyFont="1" applyFill="1" applyBorder="1" applyAlignment="1">
      <alignment horizontal="right"/>
    </xf>
    <xf numFmtId="10" fontId="2" fillId="0" borderId="8" xfId="4" applyNumberFormat="1" applyFont="1" applyBorder="1"/>
    <xf numFmtId="164" fontId="3" fillId="5" borderId="8" xfId="8" applyNumberFormat="1" applyFont="1" applyFill="1" applyBorder="1" applyAlignment="1">
      <alignment horizontal="center" vertical="center" wrapText="1"/>
    </xf>
    <xf numFmtId="0" fontId="13" fillId="2" borderId="0" xfId="4" applyFont="1" applyFill="1" applyAlignment="1">
      <alignment horizontal="justify" vertical="top" wrapText="1"/>
    </xf>
    <xf numFmtId="10" fontId="2" fillId="0" borderId="0" xfId="54" applyNumberFormat="1" applyFont="1"/>
    <xf numFmtId="10" fontId="24" fillId="5" borderId="8" xfId="54" applyNumberFormat="1" applyFont="1" applyFill="1" applyBorder="1" applyAlignment="1">
      <alignment horizontal="center" vertical="center" wrapText="1"/>
    </xf>
    <xf numFmtId="10" fontId="24" fillId="4" borderId="8" xfId="54" applyNumberFormat="1" applyFont="1" applyFill="1" applyBorder="1" applyAlignment="1">
      <alignment horizontal="center" vertical="center" wrapText="1"/>
    </xf>
    <xf numFmtId="10" fontId="24" fillId="12" borderId="8" xfId="54" applyNumberFormat="1" applyFont="1" applyFill="1" applyBorder="1" applyAlignment="1">
      <alignment horizontal="center" vertical="center" wrapText="1"/>
    </xf>
    <xf numFmtId="10" fontId="24" fillId="2" borderId="8" xfId="54" applyNumberFormat="1" applyFont="1" applyFill="1" applyBorder="1" applyAlignment="1">
      <alignment horizontal="center" vertical="center" wrapText="1"/>
    </xf>
    <xf numFmtId="164" fontId="24" fillId="13" borderId="10" xfId="18" applyNumberFormat="1" applyFont="1" applyFill="1" applyBorder="1" applyAlignment="1">
      <alignment horizontal="left" vertical="center"/>
    </xf>
    <xf numFmtId="164" fontId="20" fillId="0" borderId="0" xfId="18" applyNumberFormat="1" applyFont="1" applyAlignment="1">
      <alignment horizontal="justify" wrapText="1"/>
    </xf>
    <xf numFmtId="164" fontId="3" fillId="9" borderId="9" xfId="18" applyNumberFormat="1" applyFont="1" applyFill="1" applyBorder="1" applyAlignment="1">
      <alignment horizontal="center"/>
    </xf>
    <xf numFmtId="164" fontId="3" fillId="9" borderId="22" xfId="18" applyNumberFormat="1" applyFont="1" applyFill="1" applyBorder="1" applyAlignment="1">
      <alignment horizontal="center"/>
    </xf>
    <xf numFmtId="164" fontId="2" fillId="2" borderId="0" xfId="18" applyNumberFormat="1" applyFont="1" applyFill="1" applyBorder="1"/>
    <xf numFmtId="164" fontId="2" fillId="0" borderId="8" xfId="18" applyNumberFormat="1" applyFont="1" applyFill="1" applyBorder="1"/>
    <xf numFmtId="0" fontId="2" fillId="0" borderId="0" xfId="3" applyFont="1" applyAlignment="1">
      <alignment wrapText="1"/>
    </xf>
    <xf numFmtId="43" fontId="2" fillId="0" borderId="0" xfId="18" applyFont="1"/>
    <xf numFmtId="164" fontId="23" fillId="0" borderId="0" xfId="18" applyNumberFormat="1" applyFont="1" applyAlignment="1">
      <alignment vertical="center"/>
    </xf>
    <xf numFmtId="164" fontId="23" fillId="0" borderId="0" xfId="18" applyNumberFormat="1" applyFont="1" applyAlignment="1">
      <alignment vertical="center" wrapText="1"/>
    </xf>
    <xf numFmtId="43" fontId="2" fillId="2" borderId="0" xfId="18" applyFont="1" applyFill="1"/>
    <xf numFmtId="164" fontId="4" fillId="0" borderId="0" xfId="18" applyNumberFormat="1" applyFont="1"/>
    <xf numFmtId="164" fontId="4" fillId="2" borderId="0" xfId="18" applyNumberFormat="1" applyFont="1" applyFill="1"/>
    <xf numFmtId="9" fontId="4" fillId="2" borderId="8" xfId="4" applyNumberFormat="1" applyFont="1" applyFill="1" applyBorder="1"/>
    <xf numFmtId="0" fontId="2" fillId="0" borderId="0" xfId="3" applyFont="1" applyAlignment="1">
      <alignment horizontal="left" wrapText="1"/>
    </xf>
    <xf numFmtId="0" fontId="5" fillId="2" borderId="26" xfId="50" applyFont="1" applyFill="1" applyBorder="1" applyAlignment="1">
      <alignment horizontal="left" vertical="center" wrapText="1"/>
    </xf>
    <xf numFmtId="0" fontId="5" fillId="2" borderId="26" xfId="49" applyFont="1" applyFill="1" applyBorder="1" applyAlignment="1">
      <alignment horizontal="left" vertical="center" wrapText="1"/>
    </xf>
    <xf numFmtId="9" fontId="4" fillId="0" borderId="8" xfId="54" applyFont="1" applyBorder="1" applyAlignment="1">
      <alignment horizontal="center" vertical="center"/>
    </xf>
    <xf numFmtId="164" fontId="4" fillId="0" borderId="8" xfId="18" applyNumberFormat="1" applyFont="1" applyBorder="1" applyAlignment="1">
      <alignment horizontal="right"/>
    </xf>
    <xf numFmtId="166" fontId="4" fillId="0" borderId="8" xfId="4" applyNumberFormat="1" applyFont="1" applyBorder="1"/>
    <xf numFmtId="0" fontId="4" fillId="0" borderId="8" xfId="4" applyFont="1" applyBorder="1" applyAlignment="1">
      <alignment wrapText="1"/>
    </xf>
    <xf numFmtId="0" fontId="4" fillId="0" borderId="8" xfId="13" applyFont="1" applyBorder="1" applyAlignment="1">
      <alignment vertical="center"/>
    </xf>
    <xf numFmtId="164" fontId="4" fillId="0" borderId="8" xfId="18" applyNumberFormat="1" applyFont="1" applyBorder="1" applyAlignment="1">
      <alignment horizontal="right" vertical="center"/>
    </xf>
    <xf numFmtId="0" fontId="4" fillId="2" borderId="8" xfId="13" applyFont="1" applyFill="1" applyBorder="1" applyAlignment="1">
      <alignment vertical="center"/>
    </xf>
    <xf numFmtId="164" fontId="4" fillId="2" borderId="8" xfId="18" applyNumberFormat="1" applyFont="1" applyFill="1" applyBorder="1" applyAlignment="1">
      <alignment horizontal="right" vertical="center"/>
    </xf>
    <xf numFmtId="41" fontId="4" fillId="2" borderId="8" xfId="4" applyNumberFormat="1" applyFont="1" applyFill="1" applyBorder="1"/>
    <xf numFmtId="166" fontId="4" fillId="2" borderId="8" xfId="4" applyNumberFormat="1" applyFont="1" applyFill="1" applyBorder="1"/>
    <xf numFmtId="0" fontId="4" fillId="2" borderId="8" xfId="4" applyFont="1" applyFill="1" applyBorder="1" applyAlignment="1">
      <alignment vertical="center"/>
    </xf>
    <xf numFmtId="9" fontId="4" fillId="2" borderId="8" xfId="4" applyNumberFormat="1" applyFont="1" applyFill="1" applyBorder="1" applyAlignment="1">
      <alignment vertical="center"/>
    </xf>
    <xf numFmtId="0" fontId="4" fillId="2" borderId="8" xfId="57" applyFont="1" applyFill="1" applyBorder="1" applyAlignment="1">
      <alignment vertical="center"/>
    </xf>
    <xf numFmtId="0" fontId="4" fillId="2" borderId="8" xfId="59" applyFont="1" applyFill="1" applyBorder="1" applyAlignment="1">
      <alignment vertical="center"/>
    </xf>
    <xf numFmtId="9" fontId="4" fillId="2" borderId="8" xfId="28" applyFont="1" applyFill="1" applyBorder="1"/>
    <xf numFmtId="0" fontId="4" fillId="2" borderId="8" xfId="3" applyFont="1" applyFill="1" applyBorder="1"/>
    <xf numFmtId="9" fontId="4" fillId="2" borderId="8" xfId="3" applyNumberFormat="1" applyFont="1" applyFill="1" applyBorder="1"/>
    <xf numFmtId="0" fontId="21" fillId="10" borderId="31" xfId="50" applyFont="1" applyFill="1" applyBorder="1" applyAlignment="1">
      <alignment horizontal="center" vertical="center"/>
    </xf>
    <xf numFmtId="0" fontId="5" fillId="2" borderId="32" xfId="50" applyFont="1" applyFill="1" applyBorder="1" applyAlignment="1">
      <alignment horizontal="left" vertical="center" wrapText="1"/>
    </xf>
    <xf numFmtId="0" fontId="20" fillId="2" borderId="8" xfId="50" applyFont="1" applyFill="1" applyBorder="1" applyAlignment="1">
      <alignment horizontal="justify" vertical="center" wrapText="1"/>
    </xf>
    <xf numFmtId="165" fontId="5" fillId="2" borderId="8" xfId="1" applyNumberFormat="1" applyFont="1" applyFill="1" applyBorder="1" applyAlignment="1">
      <alignment vertical="center"/>
    </xf>
    <xf numFmtId="0" fontId="5" fillId="2" borderId="8" xfId="50" applyFont="1" applyFill="1" applyBorder="1"/>
    <xf numFmtId="0" fontId="5" fillId="2" borderId="32" xfId="49" applyFont="1" applyFill="1" applyBorder="1" applyAlignment="1">
      <alignment horizontal="left" vertical="center" wrapText="1"/>
    </xf>
    <xf numFmtId="165" fontId="24" fillId="13" borderId="11" xfId="1" applyNumberFormat="1" applyFont="1" applyFill="1" applyBorder="1" applyAlignment="1">
      <alignment vertical="center"/>
    </xf>
    <xf numFmtId="0" fontId="20" fillId="2" borderId="11" xfId="50" applyFont="1" applyFill="1" applyBorder="1" applyAlignment="1">
      <alignment horizontal="justify" vertical="center" wrapText="1"/>
    </xf>
    <xf numFmtId="0" fontId="5" fillId="2" borderId="0" xfId="50" applyFont="1" applyFill="1" applyAlignment="1">
      <alignment horizontal="justify" vertical="center"/>
    </xf>
    <xf numFmtId="165" fontId="5" fillId="2" borderId="0" xfId="50" applyNumberFormat="1" applyFont="1" applyFill="1"/>
    <xf numFmtId="0" fontId="3" fillId="2" borderId="0" xfId="4" applyFont="1" applyFill="1" applyAlignment="1">
      <alignment horizontal="center" wrapText="1"/>
    </xf>
    <xf numFmtId="0" fontId="3" fillId="4" borderId="8" xfId="4" applyFont="1" applyFill="1" applyBorder="1"/>
    <xf numFmtId="164" fontId="2" fillId="0" borderId="0" xfId="5" applyNumberFormat="1" applyFont="1" applyBorder="1" applyAlignment="1">
      <alignment horizontal="center"/>
    </xf>
    <xf numFmtId="0" fontId="3" fillId="16" borderId="8" xfId="4" applyFont="1" applyFill="1" applyBorder="1"/>
    <xf numFmtId="0" fontId="2" fillId="0" borderId="0" xfId="4" applyFont="1" applyAlignment="1">
      <alignment horizontal="center" vertical="center" wrapText="1"/>
    </xf>
    <xf numFmtId="0" fontId="3" fillId="0" borderId="8" xfId="4" applyFont="1" applyBorder="1"/>
    <xf numFmtId="164" fontId="3" fillId="0" borderId="8" xfId="5" applyNumberFormat="1" applyFont="1" applyBorder="1" applyAlignment="1">
      <alignment horizontal="center"/>
    </xf>
    <xf numFmtId="165" fontId="2" fillId="0" borderId="8" xfId="1" applyNumberFormat="1" applyFont="1" applyBorder="1"/>
    <xf numFmtId="0" fontId="2" fillId="0" borderId="8" xfId="4" applyFont="1" applyBorder="1" applyAlignment="1">
      <alignment horizontal="center"/>
    </xf>
    <xf numFmtId="164" fontId="2" fillId="0" borderId="0" xfId="5" applyNumberFormat="1" applyFont="1" applyBorder="1"/>
    <xf numFmtId="164" fontId="2" fillId="0" borderId="33" xfId="5" applyNumberFormat="1" applyFont="1" applyBorder="1"/>
    <xf numFmtId="0" fontId="2" fillId="0" borderId="34" xfId="4" applyFont="1" applyBorder="1"/>
    <xf numFmtId="0" fontId="2" fillId="0" borderId="35" xfId="4" applyFont="1" applyBorder="1"/>
    <xf numFmtId="164" fontId="2" fillId="0" borderId="36" xfId="5" applyNumberFormat="1" applyFont="1" applyBorder="1"/>
    <xf numFmtId="0" fontId="2" fillId="0" borderId="37" xfId="4" applyFont="1" applyBorder="1"/>
    <xf numFmtId="0" fontId="2" fillId="0" borderId="36" xfId="4" applyFont="1" applyBorder="1"/>
    <xf numFmtId="0" fontId="2" fillId="0" borderId="38" xfId="4" applyFont="1" applyBorder="1"/>
    <xf numFmtId="0" fontId="2" fillId="0" borderId="39" xfId="4" applyFont="1" applyBorder="1"/>
    <xf numFmtId="0" fontId="2" fillId="0" borderId="40" xfId="4" applyFont="1" applyBorder="1"/>
    <xf numFmtId="0" fontId="10" fillId="0" borderId="0" xfId="60" applyBorder="1"/>
    <xf numFmtId="0" fontId="3" fillId="16" borderId="8" xfId="4" applyFont="1" applyFill="1" applyBorder="1" applyAlignment="1">
      <alignment horizontal="center" wrapText="1"/>
    </xf>
    <xf numFmtId="0" fontId="3" fillId="0" borderId="11" xfId="4" applyFont="1" applyBorder="1"/>
    <xf numFmtId="0" fontId="3" fillId="0" borderId="0" xfId="4" applyFont="1" applyAlignment="1">
      <alignment horizontal="center"/>
    </xf>
    <xf numFmtId="164" fontId="3" fillId="0" borderId="8" xfId="5" applyNumberFormat="1" applyFont="1" applyBorder="1" applyAlignment="1"/>
    <xf numFmtId="164" fontId="2" fillId="0" borderId="8" xfId="4" applyNumberFormat="1" applyFont="1" applyBorder="1" applyAlignment="1">
      <alignment horizontal="center"/>
    </xf>
    <xf numFmtId="164" fontId="2" fillId="0" borderId="8" xfId="5" applyNumberFormat="1" applyFont="1" applyBorder="1" applyAlignment="1"/>
    <xf numFmtId="164" fontId="2" fillId="0" borderId="0" xfId="4" applyNumberFormat="1" applyFont="1" applyAlignment="1">
      <alignment horizontal="center"/>
    </xf>
    <xf numFmtId="164" fontId="2" fillId="0" borderId="0" xfId="5" applyNumberFormat="1" applyFont="1" applyBorder="1" applyAlignment="1"/>
    <xf numFmtId="0" fontId="32" fillId="17" borderId="24" xfId="4" applyFont="1" applyFill="1" applyBorder="1" applyAlignment="1">
      <alignment horizontal="center" vertical="center"/>
    </xf>
    <xf numFmtId="0" fontId="32" fillId="17" borderId="41" xfId="4" applyFont="1" applyFill="1" applyBorder="1" applyAlignment="1">
      <alignment horizontal="center" vertical="center" wrapText="1"/>
    </xf>
    <xf numFmtId="0" fontId="32" fillId="17" borderId="42" xfId="4" applyFont="1" applyFill="1" applyBorder="1" applyAlignment="1">
      <alignment horizontal="center" vertical="center" wrapText="1"/>
    </xf>
    <xf numFmtId="0" fontId="33" fillId="17" borderId="8" xfId="4" applyFont="1" applyFill="1" applyBorder="1" applyAlignment="1">
      <alignment horizontal="center" vertical="center" wrapText="1"/>
    </xf>
    <xf numFmtId="164" fontId="3" fillId="16" borderId="8" xfId="18" applyNumberFormat="1" applyFont="1" applyFill="1" applyBorder="1"/>
    <xf numFmtId="0" fontId="34" fillId="0" borderId="0" xfId="6" applyFont="1" applyBorder="1"/>
    <xf numFmtId="165" fontId="3" fillId="16" borderId="8" xfId="7" applyNumberFormat="1" applyFont="1" applyFill="1" applyBorder="1" applyAlignment="1">
      <alignment horizontal="center"/>
    </xf>
    <xf numFmtId="0" fontId="3" fillId="16" borderId="8" xfId="4" applyFont="1" applyFill="1" applyBorder="1" applyAlignment="1">
      <alignment horizontal="center"/>
    </xf>
    <xf numFmtId="0" fontId="4" fillId="3" borderId="8" xfId="4" applyFont="1" applyFill="1" applyBorder="1"/>
    <xf numFmtId="164" fontId="4" fillId="0" borderId="8" xfId="5" applyNumberFormat="1" applyFont="1" applyBorder="1" applyAlignment="1">
      <alignment horizontal="center"/>
    </xf>
    <xf numFmtId="164" fontId="11" fillId="0" borderId="8" xfId="5" applyNumberFormat="1" applyFont="1" applyBorder="1" applyAlignment="1">
      <alignment horizontal="center"/>
    </xf>
    <xf numFmtId="0" fontId="11" fillId="16" borderId="8" xfId="4" applyFont="1" applyFill="1" applyBorder="1"/>
    <xf numFmtId="164" fontId="11" fillId="16" borderId="8" xfId="5" applyNumberFormat="1" applyFont="1" applyFill="1" applyBorder="1"/>
    <xf numFmtId="0" fontId="3" fillId="16" borderId="12" xfId="4" applyFont="1" applyFill="1" applyBorder="1"/>
    <xf numFmtId="164" fontId="11" fillId="16" borderId="12" xfId="5" applyNumberFormat="1" applyFont="1" applyFill="1" applyBorder="1"/>
    <xf numFmtId="0" fontId="3" fillId="0" borderId="8" xfId="4" applyFont="1" applyBorder="1" applyAlignment="1">
      <alignment wrapText="1"/>
    </xf>
    <xf numFmtId="164" fontId="2" fillId="0" borderId="0" xfId="5" applyNumberFormat="1" applyFont="1" applyBorder="1" applyAlignment="1">
      <alignment wrapText="1"/>
    </xf>
    <xf numFmtId="0" fontId="3" fillId="3" borderId="8" xfId="4" applyFont="1" applyFill="1" applyBorder="1"/>
    <xf numFmtId="0" fontId="3" fillId="3" borderId="0" xfId="4" applyFont="1" applyFill="1"/>
    <xf numFmtId="0" fontId="33" fillId="17" borderId="8" xfId="4" applyFont="1" applyFill="1" applyBorder="1" applyAlignment="1">
      <alignment horizontal="left" vertical="center" wrapText="1"/>
    </xf>
    <xf numFmtId="0" fontId="2" fillId="12" borderId="10" xfId="4" applyFont="1" applyFill="1" applyBorder="1"/>
    <xf numFmtId="9" fontId="2" fillId="12" borderId="8" xfId="4" applyNumberFormat="1" applyFont="1" applyFill="1" applyBorder="1" applyAlignment="1">
      <alignment horizontal="left"/>
    </xf>
    <xf numFmtId="0" fontId="2" fillId="0" borderId="10" xfId="4" applyFont="1" applyBorder="1"/>
    <xf numFmtId="9" fontId="2" fillId="0" borderId="8" xfId="4" applyNumberFormat="1" applyFont="1" applyBorder="1" applyAlignment="1">
      <alignment horizontal="left"/>
    </xf>
    <xf numFmtId="0" fontId="2" fillId="2" borderId="10" xfId="4" applyFont="1" applyFill="1" applyBorder="1"/>
    <xf numFmtId="41" fontId="4" fillId="2" borderId="8" xfId="55" applyFont="1" applyFill="1" applyBorder="1"/>
    <xf numFmtId="0" fontId="2" fillId="4" borderId="8" xfId="4" applyFont="1" applyFill="1" applyBorder="1"/>
    <xf numFmtId="9" fontId="2" fillId="4" borderId="8" xfId="4" applyNumberFormat="1" applyFont="1" applyFill="1" applyBorder="1" applyAlignment="1">
      <alignment horizontal="left"/>
    </xf>
    <xf numFmtId="9" fontId="2" fillId="2" borderId="8" xfId="4" applyNumberFormat="1" applyFont="1" applyFill="1" applyBorder="1" applyAlignment="1">
      <alignment horizontal="left"/>
    </xf>
    <xf numFmtId="0" fontId="3" fillId="5" borderId="11" xfId="4" applyFont="1" applyFill="1" applyBorder="1"/>
    <xf numFmtId="164" fontId="4" fillId="0" borderId="8" xfId="5" applyNumberFormat="1" applyFont="1" applyBorder="1"/>
    <xf numFmtId="164" fontId="2" fillId="0" borderId="8" xfId="5" applyNumberFormat="1" applyFont="1" applyBorder="1"/>
    <xf numFmtId="164" fontId="3" fillId="16" borderId="8" xfId="5" applyNumberFormat="1" applyFont="1" applyFill="1" applyBorder="1" applyAlignment="1">
      <alignment wrapText="1"/>
    </xf>
    <xf numFmtId="164" fontId="3" fillId="3" borderId="8" xfId="5" applyNumberFormat="1" applyFont="1" applyFill="1" applyBorder="1"/>
    <xf numFmtId="0" fontId="3" fillId="3" borderId="8" xfId="4" applyFont="1" applyFill="1" applyBorder="1" applyAlignment="1">
      <alignment wrapText="1"/>
    </xf>
    <xf numFmtId="0" fontId="4" fillId="2" borderId="8" xfId="4" applyFont="1" applyFill="1" applyBorder="1" applyAlignment="1">
      <alignment wrapText="1"/>
    </xf>
    <xf numFmtId="164" fontId="4" fillId="2" borderId="8" xfId="5" applyNumberFormat="1" applyFont="1" applyFill="1" applyBorder="1"/>
    <xf numFmtId="164" fontId="3" fillId="3" borderId="8" xfId="5" applyNumberFormat="1" applyFont="1" applyFill="1" applyBorder="1" applyAlignment="1">
      <alignment wrapText="1"/>
    </xf>
    <xf numFmtId="0" fontId="3" fillId="4" borderId="11" xfId="4" applyFont="1" applyFill="1" applyBorder="1" applyAlignment="1">
      <alignment horizontal="left"/>
    </xf>
    <xf numFmtId="165" fontId="3" fillId="16" borderId="8" xfId="4" applyNumberFormat="1" applyFont="1" applyFill="1" applyBorder="1"/>
    <xf numFmtId="0" fontId="3" fillId="4" borderId="8" xfId="4" applyFont="1" applyFill="1" applyBorder="1" applyAlignment="1">
      <alignment horizontal="center"/>
    </xf>
    <xf numFmtId="0" fontId="3" fillId="4" borderId="8" xfId="4" applyFont="1" applyFill="1" applyBorder="1" applyAlignment="1">
      <alignment wrapText="1"/>
    </xf>
    <xf numFmtId="165" fontId="3" fillId="4" borderId="8" xfId="7" applyNumberFormat="1" applyFont="1" applyFill="1" applyBorder="1" applyAlignment="1">
      <alignment wrapText="1"/>
    </xf>
    <xf numFmtId="164" fontId="2" fillId="0" borderId="0" xfId="5" applyNumberFormat="1" applyFont="1" applyAlignment="1">
      <alignment horizontal="center"/>
    </xf>
    <xf numFmtId="0" fontId="3" fillId="4" borderId="8" xfId="4" applyFont="1" applyFill="1" applyBorder="1" applyAlignment="1">
      <alignment horizontal="left" vertical="center"/>
    </xf>
    <xf numFmtId="0" fontId="3" fillId="4" borderId="8" xfId="4" applyFont="1" applyFill="1" applyBorder="1" applyAlignment="1">
      <alignment horizontal="center" vertical="center"/>
    </xf>
    <xf numFmtId="165" fontId="2" fillId="0" borderId="8" xfId="7" applyNumberFormat="1" applyFont="1" applyBorder="1"/>
    <xf numFmtId="165" fontId="2" fillId="2" borderId="8" xfId="1" applyNumberFormat="1" applyFont="1" applyFill="1" applyBorder="1"/>
    <xf numFmtId="165" fontId="2" fillId="0" borderId="8" xfId="1" applyNumberFormat="1" applyFont="1" applyBorder="1" applyAlignment="1"/>
    <xf numFmtId="165" fontId="2" fillId="2" borderId="8" xfId="7" applyNumberFormat="1" applyFont="1" applyFill="1" applyBorder="1"/>
    <xf numFmtId="0" fontId="3" fillId="3" borderId="8" xfId="4" applyFont="1" applyFill="1" applyBorder="1" applyAlignment="1">
      <alignment horizontal="left" wrapText="1"/>
    </xf>
    <xf numFmtId="0" fontId="2" fillId="3" borderId="8" xfId="4" applyFont="1" applyFill="1" applyBorder="1" applyAlignment="1">
      <alignment horizontal="left" wrapText="1"/>
    </xf>
    <xf numFmtId="0" fontId="3" fillId="4" borderId="24" xfId="4" applyFont="1" applyFill="1" applyBorder="1"/>
    <xf numFmtId="164" fontId="3" fillId="4" borderId="8" xfId="4" applyNumberFormat="1" applyFont="1" applyFill="1" applyBorder="1"/>
    <xf numFmtId="0" fontId="3" fillId="4" borderId="11" xfId="4" applyFont="1" applyFill="1" applyBorder="1"/>
    <xf numFmtId="164" fontId="3" fillId="4" borderId="8" xfId="5" applyNumberFormat="1" applyFont="1" applyFill="1" applyBorder="1"/>
    <xf numFmtId="0" fontId="3" fillId="3" borderId="11" xfId="4" applyFont="1" applyFill="1" applyBorder="1"/>
    <xf numFmtId="164" fontId="2" fillId="0" borderId="8" xfId="5" applyNumberFormat="1" applyFont="1" applyBorder="1" applyAlignment="1">
      <alignment wrapText="1"/>
    </xf>
    <xf numFmtId="0" fontId="2" fillId="0" borderId="0" xfId="4" applyFont="1" applyAlignment="1">
      <alignment horizontal="justify" wrapText="1"/>
    </xf>
    <xf numFmtId="164" fontId="2" fillId="2" borderId="8" xfId="5" applyNumberFormat="1" applyFont="1" applyFill="1" applyBorder="1"/>
    <xf numFmtId="0" fontId="2" fillId="0" borderId="0" xfId="4" applyFont="1" applyAlignment="1">
      <alignment horizontal="justify" vertical="justify" wrapText="1"/>
    </xf>
    <xf numFmtId="0" fontId="3" fillId="3" borderId="8" xfId="4" applyFont="1" applyFill="1" applyBorder="1" applyAlignment="1">
      <alignment horizontal="center"/>
    </xf>
    <xf numFmtId="0" fontId="3" fillId="5" borderId="8" xfId="4" applyFont="1" applyFill="1" applyBorder="1"/>
    <xf numFmtId="164" fontId="3" fillId="5" borderId="8" xfId="5" applyNumberFormat="1" applyFont="1" applyFill="1" applyBorder="1"/>
    <xf numFmtId="164" fontId="3" fillId="2" borderId="0" xfId="5" applyNumberFormat="1" applyFont="1" applyFill="1" applyBorder="1"/>
    <xf numFmtId="0" fontId="3" fillId="5" borderId="8" xfId="4" applyFont="1" applyFill="1" applyBorder="1" applyAlignment="1">
      <alignment horizontal="center"/>
    </xf>
    <xf numFmtId="164" fontId="12" fillId="0" borderId="0" xfId="5" applyNumberFormat="1" applyFont="1" applyBorder="1" applyAlignment="1">
      <alignment vertical="center" wrapText="1"/>
    </xf>
    <xf numFmtId="165" fontId="12" fillId="0" borderId="0" xfId="7" applyNumberFormat="1" applyFont="1" applyBorder="1" applyAlignment="1">
      <alignment vertical="center"/>
    </xf>
    <xf numFmtId="0" fontId="12" fillId="0" borderId="0" xfId="4" applyFont="1" applyAlignment="1">
      <alignment horizontal="justify" wrapText="1"/>
    </xf>
    <xf numFmtId="0" fontId="12" fillId="0" borderId="0" xfId="4" applyFont="1" applyAlignment="1">
      <alignment wrapText="1"/>
    </xf>
    <xf numFmtId="0" fontId="3" fillId="2" borderId="9" xfId="4" applyFont="1" applyFill="1" applyBorder="1"/>
    <xf numFmtId="164" fontId="3" fillId="5" borderId="8" xfId="4" applyNumberFormat="1" applyFont="1" applyFill="1" applyBorder="1"/>
    <xf numFmtId="0" fontId="3" fillId="5" borderId="43" xfId="4" applyFont="1" applyFill="1" applyBorder="1"/>
    <xf numFmtId="0" fontId="3" fillId="5" borderId="8" xfId="4" applyFont="1" applyFill="1" applyBorder="1" applyAlignment="1">
      <alignment horizontal="left"/>
    </xf>
    <xf numFmtId="0" fontId="11" fillId="3" borderId="8" xfId="4" applyFont="1" applyFill="1" applyBorder="1"/>
    <xf numFmtId="164" fontId="11" fillId="3" borderId="8" xfId="5" applyNumberFormat="1" applyFont="1" applyFill="1" applyBorder="1"/>
    <xf numFmtId="0" fontId="3" fillId="5" borderId="8" xfId="3" applyFont="1" applyFill="1" applyBorder="1" applyAlignment="1">
      <alignment horizontal="left"/>
    </xf>
    <xf numFmtId="0" fontId="3" fillId="5" borderId="8" xfId="3" applyFont="1" applyFill="1" applyBorder="1" applyAlignment="1">
      <alignment horizontal="center"/>
    </xf>
    <xf numFmtId="164" fontId="2" fillId="0" borderId="0" xfId="9" applyNumberFormat="1" applyFont="1" applyBorder="1"/>
    <xf numFmtId="164" fontId="4" fillId="0" borderId="8" xfId="5" applyNumberFormat="1" applyFont="1" applyBorder="1" applyAlignment="1">
      <alignment wrapText="1"/>
    </xf>
    <xf numFmtId="164" fontId="4" fillId="0" borderId="0" xfId="5" applyNumberFormat="1" applyFont="1" applyBorder="1" applyAlignment="1">
      <alignment wrapText="1"/>
    </xf>
    <xf numFmtId="164" fontId="4" fillId="0" borderId="0" xfId="5" applyNumberFormat="1" applyFont="1" applyBorder="1"/>
    <xf numFmtId="0" fontId="2" fillId="2" borderId="0" xfId="13" applyFont="1" applyFill="1"/>
    <xf numFmtId="0" fontId="3" fillId="3" borderId="8" xfId="3" applyFont="1" applyFill="1" applyBorder="1"/>
    <xf numFmtId="0" fontId="3" fillId="3" borderId="8" xfId="3" applyFont="1" applyFill="1" applyBorder="1" applyAlignment="1">
      <alignment wrapText="1"/>
    </xf>
    <xf numFmtId="164" fontId="2" fillId="0" borderId="8" xfId="48" applyNumberFormat="1" applyFont="1" applyBorder="1"/>
    <xf numFmtId="0" fontId="35" fillId="0" borderId="0" xfId="4" applyFont="1" applyAlignment="1">
      <alignment wrapText="1"/>
    </xf>
    <xf numFmtId="0" fontId="10" fillId="0" borderId="0" xfId="60"/>
    <xf numFmtId="164" fontId="2" fillId="0" borderId="0" xfId="48" applyNumberFormat="1" applyFont="1" applyBorder="1"/>
    <xf numFmtId="165" fontId="2" fillId="0" borderId="8" xfId="4" applyNumberFormat="1" applyFont="1" applyBorder="1"/>
    <xf numFmtId="41" fontId="2" fillId="0" borderId="8" xfId="47" applyFont="1" applyBorder="1"/>
    <xf numFmtId="0" fontId="12" fillId="0" borderId="0" xfId="4" applyFont="1"/>
    <xf numFmtId="41" fontId="2" fillId="0" borderId="0" xfId="47" applyFont="1" applyBorder="1"/>
    <xf numFmtId="0" fontId="2" fillId="0" borderId="0" xfId="13" applyFont="1"/>
    <xf numFmtId="0" fontId="12" fillId="0" borderId="8" xfId="4" applyFont="1" applyBorder="1"/>
    <xf numFmtId="0" fontId="36" fillId="0" borderId="0" xfId="0" applyFont="1"/>
    <xf numFmtId="0" fontId="36" fillId="0" borderId="0" xfId="0" applyFont="1" applyAlignment="1">
      <alignment horizontal="center"/>
    </xf>
    <xf numFmtId="9" fontId="2" fillId="0" borderId="8" xfId="54" applyFont="1" applyBorder="1"/>
    <xf numFmtId="164" fontId="3" fillId="5" borderId="8" xfId="18" applyNumberFormat="1" applyFont="1" applyFill="1" applyBorder="1" applyAlignment="1">
      <alignment horizontal="left"/>
    </xf>
    <xf numFmtId="41" fontId="2" fillId="0" borderId="8" xfId="55" applyFont="1" applyBorder="1"/>
    <xf numFmtId="10" fontId="2" fillId="2" borderId="8" xfId="4" applyNumberFormat="1" applyFont="1" applyFill="1" applyBorder="1"/>
    <xf numFmtId="10" fontId="2" fillId="0" borderId="0" xfId="54" applyNumberFormat="1" applyFont="1" applyBorder="1"/>
    <xf numFmtId="0" fontId="3" fillId="5" borderId="8" xfId="4" applyFont="1" applyFill="1" applyBorder="1" applyAlignment="1">
      <alignment horizontal="left" wrapText="1"/>
    </xf>
    <xf numFmtId="165" fontId="3" fillId="5" borderId="8" xfId="1" applyNumberFormat="1" applyFont="1" applyFill="1" applyBorder="1" applyAlignment="1">
      <alignment horizontal="left"/>
    </xf>
    <xf numFmtId="0" fontId="2" fillId="0" borderId="8" xfId="3" applyFont="1" applyBorder="1" applyAlignment="1">
      <alignment wrapText="1"/>
    </xf>
    <xf numFmtId="0" fontId="2" fillId="0" borderId="8" xfId="3" applyFont="1" applyBorder="1"/>
    <xf numFmtId="0" fontId="3" fillId="5" borderId="8" xfId="3" applyFont="1" applyFill="1" applyBorder="1" applyAlignment="1">
      <alignment horizontal="center" vertical="center" wrapText="1"/>
    </xf>
    <xf numFmtId="0" fontId="2" fillId="0" borderId="8" xfId="3" applyFont="1" applyBorder="1" applyAlignment="1">
      <alignment horizontal="left" wrapText="1"/>
    </xf>
    <xf numFmtId="164" fontId="2" fillId="0" borderId="8" xfId="9" applyNumberFormat="1" applyFont="1" applyBorder="1" applyAlignment="1">
      <alignment horizontal="center"/>
    </xf>
    <xf numFmtId="164" fontId="2" fillId="0" borderId="8" xfId="3" applyNumberFormat="1" applyFont="1" applyBorder="1" applyAlignment="1">
      <alignment horizontal="center"/>
    </xf>
    <xf numFmtId="9" fontId="2" fillId="0" borderId="8" xfId="3" applyNumberFormat="1" applyFont="1" applyBorder="1"/>
    <xf numFmtId="164" fontId="3" fillId="4" borderId="8" xfId="18" applyNumberFormat="1" applyFont="1" applyFill="1" applyBorder="1" applyAlignment="1">
      <alignment horizontal="center" vertical="center" wrapText="1"/>
    </xf>
    <xf numFmtId="0" fontId="2" fillId="0" borderId="8" xfId="3" applyFont="1" applyBorder="1" applyAlignment="1">
      <alignment horizontal="left"/>
    </xf>
    <xf numFmtId="164" fontId="2" fillId="0" borderId="8" xfId="3" applyNumberFormat="1" applyFont="1" applyBorder="1"/>
    <xf numFmtId="164" fontId="2" fillId="0" borderId="0" xfId="9" applyNumberFormat="1" applyFont="1" applyBorder="1" applyAlignment="1">
      <alignment horizontal="center"/>
    </xf>
    <xf numFmtId="164" fontId="2" fillId="0" borderId="0" xfId="3" applyNumberFormat="1" applyFont="1" applyAlignment="1">
      <alignment horizontal="center"/>
    </xf>
    <xf numFmtId="9" fontId="2" fillId="0" borderId="0" xfId="3" applyNumberFormat="1" applyFont="1"/>
    <xf numFmtId="164" fontId="2" fillId="0" borderId="0" xfId="3" applyNumberFormat="1" applyFont="1"/>
    <xf numFmtId="0" fontId="3" fillId="5" borderId="8" xfId="4" applyFont="1" applyFill="1" applyBorder="1" applyAlignment="1">
      <alignment horizontal="right"/>
    </xf>
    <xf numFmtId="164" fontId="2" fillId="0" borderId="8" xfId="18" applyNumberFormat="1" applyFont="1" applyBorder="1" applyAlignment="1">
      <alignment horizontal="center" wrapText="1"/>
    </xf>
    <xf numFmtId="164" fontId="3" fillId="3" borderId="8" xfId="48" applyNumberFormat="1" applyFont="1" applyFill="1" applyBorder="1"/>
    <xf numFmtId="164" fontId="2" fillId="0" borderId="7" xfId="5" applyNumberFormat="1" applyFont="1" applyBorder="1"/>
    <xf numFmtId="0" fontId="12" fillId="2" borderId="0" xfId="4" applyFont="1" applyFill="1"/>
    <xf numFmtId="164" fontId="2" fillId="0" borderId="0" xfId="18" applyNumberFormat="1" applyFont="1" applyBorder="1" applyAlignment="1">
      <alignment horizontal="left" wrapText="1"/>
    </xf>
    <xf numFmtId="164" fontId="2" fillId="0" borderId="8" xfId="18" applyNumberFormat="1" applyFont="1" applyBorder="1" applyAlignment="1">
      <alignment horizontal="center"/>
    </xf>
    <xf numFmtId="164" fontId="2" fillId="0" borderId="8" xfId="3" applyNumberFormat="1" applyFont="1" applyBorder="1" applyAlignment="1">
      <alignment horizontal="right"/>
    </xf>
    <xf numFmtId="41" fontId="2" fillId="0" borderId="0" xfId="55" applyFont="1" applyBorder="1"/>
    <xf numFmtId="0" fontId="3" fillId="3" borderId="11" xfId="4" applyFont="1" applyFill="1" applyBorder="1" applyAlignment="1">
      <alignment horizontal="left" wrapText="1"/>
    </xf>
    <xf numFmtId="164" fontId="2" fillId="0" borderId="8" xfId="9" applyNumberFormat="1" applyFont="1" applyBorder="1" applyAlignment="1">
      <alignment horizontal="left"/>
    </xf>
    <xf numFmtId="164" fontId="3" fillId="3" borderId="8" xfId="18" applyNumberFormat="1" applyFont="1" applyFill="1" applyBorder="1" applyAlignment="1">
      <alignment horizontal="left" wrapText="1"/>
    </xf>
    <xf numFmtId="165" fontId="2" fillId="0" borderId="0" xfId="3" applyNumberFormat="1" applyFont="1"/>
    <xf numFmtId="0" fontId="3" fillId="4" borderId="8" xfId="3" applyFont="1" applyFill="1" applyBorder="1" applyAlignment="1">
      <alignment horizontal="left" vertical="center" wrapText="1"/>
    </xf>
    <xf numFmtId="0" fontId="3" fillId="4" borderId="8" xfId="3" applyFont="1" applyFill="1" applyBorder="1" applyAlignment="1">
      <alignment horizontal="center" vertical="center" wrapText="1"/>
    </xf>
    <xf numFmtId="164" fontId="3" fillId="4" borderId="8" xfId="3" applyNumberFormat="1" applyFont="1" applyFill="1" applyBorder="1" applyAlignment="1">
      <alignment horizontal="center" vertical="center" wrapText="1"/>
    </xf>
    <xf numFmtId="9" fontId="2" fillId="0" borderId="8" xfId="54" applyFont="1" applyBorder="1" applyAlignment="1">
      <alignment horizontal="center" vertical="center"/>
    </xf>
    <xf numFmtId="167" fontId="2" fillId="0" borderId="8" xfId="55" applyNumberFormat="1" applyFont="1" applyBorder="1" applyAlignment="1">
      <alignment horizontal="center" vertical="center"/>
    </xf>
    <xf numFmtId="41" fontId="2" fillId="0" borderId="8" xfId="55" applyFont="1" applyBorder="1" applyAlignment="1">
      <alignment horizontal="center" vertical="center"/>
    </xf>
    <xf numFmtId="164" fontId="3" fillId="18" borderId="8" xfId="18" applyNumberFormat="1" applyFont="1" applyFill="1" applyBorder="1" applyAlignment="1">
      <alignment horizontal="center" vertical="center"/>
    </xf>
    <xf numFmtId="168" fontId="2" fillId="5" borderId="8" xfId="0" applyNumberFormat="1" applyFont="1" applyFill="1" applyBorder="1" applyAlignment="1">
      <alignment horizontal="center" vertical="center"/>
    </xf>
    <xf numFmtId="9" fontId="2" fillId="0" borderId="8" xfId="54" applyFont="1" applyBorder="1" applyAlignment="1">
      <alignment horizontal="right" vertical="center"/>
    </xf>
    <xf numFmtId="0" fontId="0" fillId="0" borderId="0" xfId="0" applyAlignment="1">
      <alignment vertical="center"/>
    </xf>
    <xf numFmtId="9" fontId="0" fillId="0" borderId="0" xfId="0" applyNumberFormat="1" applyAlignment="1">
      <alignment vertical="center"/>
    </xf>
    <xf numFmtId="164" fontId="2" fillId="0" borderId="0" xfId="9" applyNumberFormat="1" applyFont="1" applyBorder="1" applyAlignment="1">
      <alignment horizontal="left"/>
    </xf>
    <xf numFmtId="9" fontId="2" fillId="0" borderId="0" xfId="54" applyFont="1" applyBorder="1" applyAlignment="1">
      <alignment horizontal="center" vertical="center"/>
    </xf>
    <xf numFmtId="167" fontId="2" fillId="0" borderId="0" xfId="55" applyNumberFormat="1" applyFont="1" applyBorder="1" applyAlignment="1">
      <alignment horizontal="center" vertical="center"/>
    </xf>
    <xf numFmtId="41" fontId="2" fillId="0" borderId="0" xfId="55" applyFont="1" applyBorder="1" applyAlignment="1">
      <alignment horizontal="center" vertical="center"/>
    </xf>
    <xf numFmtId="0" fontId="2" fillId="0" borderId="0" xfId="0" applyFont="1"/>
    <xf numFmtId="0" fontId="2" fillId="2" borderId="8" xfId="0" applyFont="1" applyFill="1" applyBorder="1"/>
    <xf numFmtId="41" fontId="0" fillId="0" borderId="0" xfId="0" applyNumberFormat="1"/>
    <xf numFmtId="3" fontId="0" fillId="0" borderId="0" xfId="0" applyNumberFormat="1"/>
    <xf numFmtId="41" fontId="0" fillId="0" borderId="0" xfId="55" applyFont="1"/>
    <xf numFmtId="0" fontId="2" fillId="2" borderId="11" xfId="0" applyFont="1" applyFill="1" applyBorder="1"/>
    <xf numFmtId="164" fontId="14" fillId="0" borderId="8" xfId="3" applyNumberFormat="1" applyFont="1" applyBorder="1"/>
    <xf numFmtId="164" fontId="3" fillId="3" borderId="8" xfId="18" applyNumberFormat="1" applyFont="1" applyFill="1" applyBorder="1" applyAlignment="1">
      <alignment horizontal="center" vertical="center" wrapText="1"/>
    </xf>
    <xf numFmtId="0" fontId="3" fillId="2" borderId="8" xfId="4" applyFont="1" applyFill="1" applyBorder="1"/>
    <xf numFmtId="164" fontId="3" fillId="2" borderId="0" xfId="4" applyNumberFormat="1" applyFont="1" applyFill="1"/>
    <xf numFmtId="0" fontId="2" fillId="0" borderId="8" xfId="3" applyFont="1" applyBorder="1" applyAlignment="1">
      <alignment vertical="center"/>
    </xf>
    <xf numFmtId="0" fontId="3" fillId="3" borderId="8" xfId="3" applyFont="1" applyFill="1" applyBorder="1" applyAlignment="1">
      <alignment horizontal="center" vertical="center" wrapText="1"/>
    </xf>
    <xf numFmtId="166" fontId="2" fillId="0" borderId="8" xfId="3" applyNumberFormat="1" applyFont="1" applyBorder="1"/>
    <xf numFmtId="0" fontId="3" fillId="3" borderId="11" xfId="3" applyFont="1" applyFill="1" applyBorder="1"/>
    <xf numFmtId="0" fontId="2" fillId="0" borderId="8" xfId="13" applyFont="1" applyBorder="1"/>
    <xf numFmtId="3" fontId="2" fillId="0" borderId="8" xfId="13" applyNumberFormat="1" applyFont="1" applyBorder="1"/>
    <xf numFmtId="164" fontId="2" fillId="2" borderId="0" xfId="4" applyNumberFormat="1" applyFont="1" applyFill="1"/>
    <xf numFmtId="0" fontId="2" fillId="0" borderId="11" xfId="13" applyFont="1" applyBorder="1"/>
    <xf numFmtId="3" fontId="4" fillId="0" borderId="8" xfId="13" applyNumberFormat="1" applyFont="1" applyBorder="1"/>
    <xf numFmtId="0" fontId="2" fillId="2" borderId="8" xfId="13" applyFont="1" applyFill="1" applyBorder="1"/>
    <xf numFmtId="3" fontId="2" fillId="2" borderId="8" xfId="13" applyNumberFormat="1" applyFont="1" applyFill="1" applyBorder="1"/>
    <xf numFmtId="9" fontId="3" fillId="3" borderId="8" xfId="4" applyNumberFormat="1" applyFont="1" applyFill="1" applyBorder="1"/>
    <xf numFmtId="3" fontId="14" fillId="2" borderId="0" xfId="13" applyNumberFormat="1" applyFont="1" applyFill="1"/>
    <xf numFmtId="165" fontId="2" fillId="0" borderId="8" xfId="13" applyNumberFormat="1" applyFont="1" applyBorder="1"/>
    <xf numFmtId="164" fontId="4" fillId="2" borderId="8" xfId="18" applyNumberFormat="1" applyFont="1" applyFill="1" applyBorder="1"/>
    <xf numFmtId="164" fontId="4" fillId="0" borderId="8" xfId="13" applyNumberFormat="1" applyFont="1" applyBorder="1"/>
    <xf numFmtId="0" fontId="2" fillId="0" borderId="7" xfId="4" applyFont="1" applyBorder="1"/>
    <xf numFmtId="164" fontId="2" fillId="2" borderId="7" xfId="18" applyNumberFormat="1" applyFont="1" applyFill="1" applyBorder="1"/>
    <xf numFmtId="0" fontId="3" fillId="2" borderId="8" xfId="4" applyFont="1" applyFill="1" applyBorder="1" applyAlignment="1">
      <alignment horizontal="left" wrapText="1"/>
    </xf>
    <xf numFmtId="164" fontId="2" fillId="0" borderId="0" xfId="13" applyNumberFormat="1" applyFont="1"/>
    <xf numFmtId="0" fontId="3" fillId="3" borderId="8" xfId="3" applyFont="1" applyFill="1" applyBorder="1" applyAlignment="1">
      <alignment horizontal="left" vertical="center" wrapText="1"/>
    </xf>
    <xf numFmtId="164" fontId="3" fillId="3" borderId="8" xfId="18" applyNumberFormat="1" applyFont="1" applyFill="1" applyBorder="1" applyAlignment="1">
      <alignment horizontal="left" vertical="center" wrapText="1"/>
    </xf>
    <xf numFmtId="164" fontId="26" fillId="15" borderId="8" xfId="18" applyNumberFormat="1" applyFont="1" applyFill="1" applyBorder="1" applyAlignment="1">
      <alignment horizontal="left" vertical="center" wrapText="1"/>
    </xf>
    <xf numFmtId="164" fontId="2" fillId="2" borderId="8" xfId="18" applyNumberFormat="1" applyFont="1" applyFill="1" applyBorder="1" applyAlignment="1">
      <alignment horizontal="left" vertical="center"/>
    </xf>
    <xf numFmtId="164" fontId="3" fillId="15" borderId="8" xfId="18" applyNumberFormat="1" applyFont="1" applyFill="1" applyBorder="1" applyAlignment="1">
      <alignment horizontal="left" vertical="center"/>
    </xf>
    <xf numFmtId="0" fontId="3" fillId="0" borderId="8" xfId="2" applyFont="1" applyBorder="1" applyAlignment="1">
      <alignment horizontal="center" vertical="center"/>
    </xf>
    <xf numFmtId="0" fontId="2" fillId="2" borderId="0" xfId="2" applyFont="1" applyFill="1" applyAlignment="1">
      <alignment horizontal="center"/>
    </xf>
    <xf numFmtId="0" fontId="3" fillId="2" borderId="0" xfId="2" applyFont="1" applyFill="1" applyAlignment="1">
      <alignment horizontal="center" vertical="center"/>
    </xf>
    <xf numFmtId="0" fontId="4" fillId="0" borderId="1" xfId="2" applyFont="1" applyBorder="1" applyAlignment="1">
      <alignment horizontal="justify" vertical="top" wrapText="1"/>
    </xf>
    <xf numFmtId="0" fontId="4" fillId="0" borderId="2" xfId="2" applyFont="1" applyBorder="1" applyAlignment="1">
      <alignment horizontal="justify" vertical="top" wrapText="1"/>
    </xf>
    <xf numFmtId="0" fontId="4" fillId="0" borderId="3" xfId="2" applyFont="1" applyBorder="1" applyAlignment="1">
      <alignment horizontal="justify" vertical="top" wrapText="1"/>
    </xf>
    <xf numFmtId="0" fontId="4" fillId="0" borderId="4" xfId="2" applyFont="1" applyBorder="1" applyAlignment="1">
      <alignment horizontal="justify" vertical="top" wrapText="1"/>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2" fillId="0" borderId="7" xfId="2" applyFont="1" applyBorder="1" applyAlignment="1">
      <alignment horizontal="justify" vertical="center" wrapText="1"/>
    </xf>
    <xf numFmtId="0" fontId="2" fillId="0" borderId="8" xfId="2" applyFont="1" applyBorder="1" applyAlignment="1">
      <alignment horizontal="justify" vertical="center" wrapText="1"/>
    </xf>
    <xf numFmtId="0" fontId="2" fillId="0" borderId="9" xfId="2" applyFont="1" applyBorder="1" applyAlignment="1">
      <alignment horizontal="left" vertical="center" wrapText="1"/>
    </xf>
    <xf numFmtId="0" fontId="2" fillId="0" borderId="10" xfId="2" applyFont="1" applyBorder="1" applyAlignment="1">
      <alignment horizontal="left" vertical="center" wrapText="1"/>
    </xf>
    <xf numFmtId="0" fontId="2" fillId="0" borderId="9" xfId="2" applyFont="1" applyBorder="1" applyAlignment="1">
      <alignment horizontal="justify" vertical="center" wrapText="1"/>
    </xf>
    <xf numFmtId="0" fontId="2" fillId="0" borderId="10" xfId="2" applyFont="1" applyBorder="1" applyAlignment="1">
      <alignment horizontal="justify" vertical="center" wrapText="1"/>
    </xf>
    <xf numFmtId="0" fontId="3" fillId="0" borderId="9" xfId="2" applyFont="1" applyBorder="1" applyAlignment="1">
      <alignment horizontal="center" vertical="center"/>
    </xf>
    <xf numFmtId="0" fontId="3" fillId="0" borderId="10" xfId="2" applyFont="1" applyBorder="1" applyAlignment="1">
      <alignment horizontal="center" vertical="center"/>
    </xf>
    <xf numFmtId="0" fontId="2" fillId="0" borderId="12" xfId="2" applyFont="1" applyBorder="1" applyAlignment="1">
      <alignment horizontal="left" vertical="center" wrapText="1"/>
    </xf>
    <xf numFmtId="0" fontId="3" fillId="2" borderId="8" xfId="2" applyFont="1" applyFill="1" applyBorder="1" applyAlignment="1">
      <alignment vertical="center" wrapText="1"/>
    </xf>
    <xf numFmtId="0" fontId="2" fillId="2" borderId="8" xfId="2" applyFont="1" applyFill="1" applyBorder="1" applyAlignment="1">
      <alignment wrapText="1"/>
    </xf>
    <xf numFmtId="0" fontId="2" fillId="2" borderId="8" xfId="3" applyFont="1" applyFill="1" applyBorder="1" applyAlignment="1">
      <alignment horizontal="justify" vertical="center" wrapText="1"/>
    </xf>
    <xf numFmtId="0" fontId="2" fillId="2" borderId="8" xfId="2" applyFont="1" applyFill="1" applyBorder="1" applyAlignment="1">
      <alignment horizontal="justify" vertical="center" wrapText="1"/>
    </xf>
    <xf numFmtId="0" fontId="2" fillId="0" borderId="13" xfId="3" applyFont="1" applyBorder="1" applyAlignment="1">
      <alignment horizontal="center"/>
    </xf>
    <xf numFmtId="0" fontId="2" fillId="0" borderId="14" xfId="3" applyFont="1" applyBorder="1" applyAlignment="1">
      <alignment horizontal="center"/>
    </xf>
    <xf numFmtId="0" fontId="2" fillId="0" borderId="17" xfId="3" applyFont="1" applyBorder="1" applyAlignment="1">
      <alignment horizontal="center"/>
    </xf>
    <xf numFmtId="0" fontId="2" fillId="0" borderId="0" xfId="3" applyFont="1" applyAlignment="1">
      <alignment horizontal="center"/>
    </xf>
    <xf numFmtId="0" fontId="2" fillId="0" borderId="18" xfId="3" applyFont="1" applyBorder="1" applyAlignment="1">
      <alignment horizontal="center"/>
    </xf>
    <xf numFmtId="0" fontId="2" fillId="0" borderId="19" xfId="3" applyFont="1" applyBorder="1" applyAlignment="1">
      <alignment horizontal="center"/>
    </xf>
    <xf numFmtId="0" fontId="3" fillId="0" borderId="8" xfId="3" applyFont="1" applyBorder="1" applyAlignment="1">
      <alignment horizontal="center" vertical="center" wrapText="1"/>
    </xf>
    <xf numFmtId="0" fontId="2" fillId="0" borderId="8" xfId="2" applyFont="1" applyBorder="1" applyAlignment="1">
      <alignment horizontal="center" vertical="center" wrapText="1"/>
    </xf>
    <xf numFmtId="0" fontId="2" fillId="0" borderId="15" xfId="3" applyFont="1" applyBorder="1" applyAlignment="1">
      <alignment horizontal="center"/>
    </xf>
    <xf numFmtId="0" fontId="2" fillId="0" borderId="16" xfId="3" applyFont="1" applyBorder="1" applyAlignment="1">
      <alignment horizontal="center"/>
    </xf>
    <xf numFmtId="0" fontId="8" fillId="0" borderId="20" xfId="3" applyFont="1" applyBorder="1" applyAlignment="1">
      <alignment horizontal="left" vertical="center" wrapText="1"/>
    </xf>
    <xf numFmtId="0" fontId="8" fillId="0" borderId="21" xfId="3" applyFont="1" applyBorder="1" applyAlignment="1">
      <alignment horizontal="left" vertical="center" wrapText="1"/>
    </xf>
    <xf numFmtId="0" fontId="2" fillId="0" borderId="9" xfId="3" applyFont="1" applyBorder="1" applyAlignment="1">
      <alignment horizontal="justify" wrapText="1"/>
    </xf>
    <xf numFmtId="0" fontId="2" fillId="0" borderId="22" xfId="2" applyFont="1" applyBorder="1" applyAlignment="1">
      <alignment horizontal="justify" wrapText="1"/>
    </xf>
    <xf numFmtId="0" fontId="2" fillId="0" borderId="10" xfId="2" applyFont="1" applyBorder="1" applyAlignment="1">
      <alignment horizontal="justify" wrapText="1"/>
    </xf>
    <xf numFmtId="0" fontId="4" fillId="2" borderId="0" xfId="2" applyFont="1" applyFill="1" applyAlignment="1">
      <alignment horizontal="justify" vertical="center" wrapText="1"/>
    </xf>
    <xf numFmtId="0" fontId="2" fillId="2" borderId="0" xfId="2" applyFont="1" applyFill="1" applyAlignment="1">
      <alignment wrapText="1"/>
    </xf>
    <xf numFmtId="0" fontId="2" fillId="2" borderId="23" xfId="2" applyFont="1" applyFill="1" applyBorder="1" applyAlignment="1">
      <alignment wrapText="1"/>
    </xf>
    <xf numFmtId="0" fontId="2" fillId="0" borderId="0" xfId="3" applyFont="1" applyAlignment="1">
      <alignment wrapText="1"/>
    </xf>
    <xf numFmtId="0" fontId="2" fillId="0" borderId="0" xfId="2" applyFont="1" applyAlignment="1">
      <alignment wrapText="1"/>
    </xf>
    <xf numFmtId="0" fontId="2" fillId="2" borderId="8" xfId="3" applyFont="1" applyFill="1" applyBorder="1" applyAlignment="1">
      <alignment horizontal="justify" vertical="top" wrapText="1"/>
    </xf>
    <xf numFmtId="0" fontId="2" fillId="2" borderId="8" xfId="2" applyFont="1" applyFill="1" applyBorder="1" applyAlignment="1">
      <alignment horizontal="justify" vertical="top" wrapText="1"/>
    </xf>
    <xf numFmtId="0" fontId="3" fillId="3" borderId="0" xfId="3" applyFont="1" applyFill="1" applyAlignment="1">
      <alignment horizontal="left" wrapText="1"/>
    </xf>
    <xf numFmtId="0" fontId="3" fillId="3" borderId="0" xfId="2" applyFont="1" applyFill="1" applyAlignment="1">
      <alignment horizontal="left" wrapText="1"/>
    </xf>
    <xf numFmtId="0" fontId="3" fillId="0" borderId="20" xfId="3" applyFont="1" applyBorder="1" applyAlignment="1">
      <alignment horizontal="justify" vertical="center" wrapText="1"/>
    </xf>
    <xf numFmtId="0" fontId="3" fillId="0" borderId="21" xfId="3" applyFont="1" applyBorder="1" applyAlignment="1">
      <alignment horizontal="justify" vertical="center" wrapText="1"/>
    </xf>
    <xf numFmtId="0" fontId="2" fillId="0" borderId="9" xfId="3" applyFont="1" applyBorder="1" applyAlignment="1">
      <alignment horizontal="left" wrapText="1"/>
    </xf>
    <xf numFmtId="0" fontId="2" fillId="0" borderId="22" xfId="2" applyFont="1" applyBorder="1" applyAlignment="1">
      <alignment horizontal="left" wrapText="1"/>
    </xf>
    <xf numFmtId="0" fontId="2" fillId="0" borderId="10" xfId="2" applyFont="1" applyBorder="1" applyAlignment="1">
      <alignment horizontal="left" wrapText="1"/>
    </xf>
    <xf numFmtId="0" fontId="2" fillId="0" borderId="9" xfId="3" applyFont="1" applyBorder="1" applyAlignment="1">
      <alignment horizontal="left" vertical="center" wrapText="1"/>
    </xf>
    <xf numFmtId="0" fontId="2" fillId="0" borderId="22" xfId="2" applyFont="1" applyBorder="1" applyAlignment="1">
      <alignment horizontal="left" vertical="center" wrapText="1"/>
    </xf>
    <xf numFmtId="0" fontId="2" fillId="0" borderId="12" xfId="4" applyFont="1" applyBorder="1" applyAlignment="1">
      <alignment horizontal="left" wrapText="1"/>
    </xf>
    <xf numFmtId="0" fontId="2" fillId="0" borderId="12" xfId="4" applyFont="1" applyBorder="1" applyAlignment="1">
      <alignment wrapText="1"/>
    </xf>
    <xf numFmtId="0" fontId="3" fillId="3" borderId="8" xfId="4" applyFont="1" applyFill="1" applyBorder="1" applyAlignment="1">
      <alignment wrapText="1"/>
    </xf>
    <xf numFmtId="0" fontId="2" fillId="3" borderId="8" xfId="4" applyFont="1" applyFill="1" applyBorder="1" applyAlignment="1">
      <alignment wrapText="1"/>
    </xf>
    <xf numFmtId="0" fontId="3" fillId="3" borderId="9" xfId="4" applyFont="1" applyFill="1" applyBorder="1" applyAlignment="1">
      <alignment wrapText="1"/>
    </xf>
    <xf numFmtId="0" fontId="3" fillId="3" borderId="10" xfId="4" applyFont="1" applyFill="1" applyBorder="1" applyAlignment="1">
      <alignment wrapText="1"/>
    </xf>
    <xf numFmtId="0" fontId="2" fillId="0" borderId="0" xfId="4" applyFont="1" applyAlignment="1">
      <alignment horizontal="justify" vertical="justify" wrapText="1"/>
    </xf>
    <xf numFmtId="0" fontId="4" fillId="0" borderId="12" xfId="4" applyFont="1" applyBorder="1" applyAlignment="1">
      <alignment wrapText="1"/>
    </xf>
    <xf numFmtId="0" fontId="11" fillId="2" borderId="11" xfId="4" applyFont="1" applyFill="1" applyBorder="1" applyAlignment="1">
      <alignment horizontal="left" vertical="center" wrapText="1"/>
    </xf>
    <xf numFmtId="0" fontId="11" fillId="2" borderId="24" xfId="4" applyFont="1" applyFill="1" applyBorder="1" applyAlignment="1">
      <alignment horizontal="left" vertical="center" wrapText="1"/>
    </xf>
    <xf numFmtId="0" fontId="0" fillId="2" borderId="7" xfId="0" applyFill="1" applyBorder="1" applyAlignment="1">
      <alignment wrapText="1"/>
    </xf>
    <xf numFmtId="0" fontId="11" fillId="2" borderId="11" xfId="4" applyFont="1" applyFill="1" applyBorder="1" applyAlignment="1">
      <alignment horizontal="left" vertical="center"/>
    </xf>
    <xf numFmtId="0" fontId="0" fillId="2" borderId="24" xfId="0" applyFill="1" applyBorder="1"/>
    <xf numFmtId="0" fontId="0" fillId="2" borderId="7" xfId="0" applyFill="1" applyBorder="1"/>
    <xf numFmtId="0" fontId="11" fillId="2" borderId="8" xfId="4" applyFont="1" applyFill="1" applyBorder="1" applyAlignment="1">
      <alignment wrapText="1"/>
    </xf>
    <xf numFmtId="0" fontId="0" fillId="2" borderId="8" xfId="0" applyFill="1" applyBorder="1" applyAlignment="1">
      <alignment wrapText="1"/>
    </xf>
    <xf numFmtId="0" fontId="11" fillId="2" borderId="8" xfId="4" applyFont="1" applyFill="1" applyBorder="1" applyAlignment="1">
      <alignment horizontal="left" vertical="center"/>
    </xf>
    <xf numFmtId="0" fontId="3" fillId="2" borderId="12" xfId="4" applyFont="1" applyFill="1" applyBorder="1" applyAlignment="1">
      <alignment wrapText="1"/>
    </xf>
    <xf numFmtId="0" fontId="2" fillId="2" borderId="12" xfId="4" applyFont="1" applyFill="1" applyBorder="1" applyAlignment="1">
      <alignment wrapText="1"/>
    </xf>
    <xf numFmtId="0" fontId="3" fillId="3" borderId="8" xfId="4" applyFont="1" applyFill="1" applyBorder="1" applyAlignment="1">
      <alignment horizontal="left" wrapText="1"/>
    </xf>
    <xf numFmtId="0" fontId="2" fillId="0" borderId="12" xfId="4" applyFont="1" applyBorder="1" applyAlignment="1">
      <alignment horizontal="justify" wrapText="1"/>
    </xf>
    <xf numFmtId="0" fontId="3" fillId="4" borderId="8" xfId="4" applyFont="1" applyFill="1" applyBorder="1" applyAlignment="1">
      <alignment horizontal="center" wrapText="1"/>
    </xf>
    <xf numFmtId="0" fontId="3" fillId="16" borderId="8" xfId="4" applyFont="1" applyFill="1" applyBorder="1" applyAlignment="1">
      <alignment horizontal="center" wrapText="1"/>
    </xf>
    <xf numFmtId="0" fontId="32" fillId="17" borderId="9" xfId="4" applyFont="1" applyFill="1" applyBorder="1" applyAlignment="1">
      <alignment horizontal="center" vertical="center" wrapText="1"/>
    </xf>
    <xf numFmtId="0" fontId="32" fillId="17" borderId="22" xfId="4" applyFont="1" applyFill="1" applyBorder="1" applyAlignment="1">
      <alignment horizontal="center" vertical="center" wrapText="1"/>
    </xf>
    <xf numFmtId="0" fontId="32" fillId="17" borderId="10" xfId="4" applyFont="1" applyFill="1" applyBorder="1" applyAlignment="1">
      <alignment horizontal="center" vertical="center" wrapText="1"/>
    </xf>
    <xf numFmtId="0" fontId="33" fillId="17" borderId="11" xfId="4" applyFont="1" applyFill="1" applyBorder="1" applyAlignment="1">
      <alignment horizontal="center" vertical="center" wrapText="1"/>
    </xf>
    <xf numFmtId="0" fontId="33" fillId="17" borderId="24" xfId="4" applyFont="1" applyFill="1" applyBorder="1" applyAlignment="1">
      <alignment horizontal="center" vertical="center" wrapText="1"/>
    </xf>
    <xf numFmtId="0" fontId="33" fillId="17" borderId="7" xfId="4" applyFont="1" applyFill="1" applyBorder="1" applyAlignment="1">
      <alignment horizontal="center" vertical="center" wrapText="1"/>
    </xf>
    <xf numFmtId="0" fontId="3" fillId="16" borderId="8" xfId="4" applyFont="1" applyFill="1" applyBorder="1" applyAlignment="1">
      <alignment wrapText="1"/>
    </xf>
    <xf numFmtId="0" fontId="2" fillId="0" borderId="8" xfId="4" applyFont="1" applyBorder="1" applyAlignment="1">
      <alignment wrapText="1"/>
    </xf>
    <xf numFmtId="0" fontId="29" fillId="0" borderId="0" xfId="18" applyNumberFormat="1" applyFont="1" applyAlignment="1">
      <alignment horizontal="center" wrapText="1"/>
    </xf>
    <xf numFmtId="0" fontId="0" fillId="0" borderId="0" xfId="0" applyAlignment="1">
      <alignment horizontal="center" wrapText="1"/>
    </xf>
    <xf numFmtId="0" fontId="3" fillId="2" borderId="0" xfId="4" applyFont="1" applyFill="1" applyAlignment="1">
      <alignment horizontal="left" wrapText="1"/>
    </xf>
    <xf numFmtId="0" fontId="2" fillId="0" borderId="0" xfId="3" applyFont="1" applyAlignment="1">
      <alignment horizontal="left" wrapText="1"/>
    </xf>
    <xf numFmtId="0" fontId="2" fillId="0" borderId="25" xfId="3" applyFont="1" applyBorder="1" applyAlignment="1">
      <alignment horizontal="left" wrapText="1"/>
    </xf>
    <xf numFmtId="0" fontId="3" fillId="2" borderId="0" xfId="4" applyFont="1" applyFill="1" applyAlignment="1">
      <alignment horizontal="left" vertical="center" wrapText="1"/>
    </xf>
    <xf numFmtId="0" fontId="2" fillId="0" borderId="0" xfId="3" applyFont="1" applyAlignment="1">
      <alignment horizontal="left" vertical="center" wrapText="1"/>
    </xf>
    <xf numFmtId="0" fontId="0" fillId="0" borderId="0" xfId="0" applyAlignment="1">
      <alignment wrapText="1"/>
    </xf>
    <xf numFmtId="0" fontId="11" fillId="2" borderId="0" xfId="4" applyFont="1" applyFill="1" applyAlignment="1">
      <alignment horizontal="left" wrapText="1"/>
    </xf>
    <xf numFmtId="0" fontId="4" fillId="0" borderId="0" xfId="3" applyFont="1" applyAlignment="1">
      <alignment horizontal="left" wrapText="1"/>
    </xf>
    <xf numFmtId="0" fontId="4" fillId="0" borderId="25" xfId="3" applyFont="1" applyBorder="1" applyAlignment="1">
      <alignment horizontal="left" wrapText="1"/>
    </xf>
    <xf numFmtId="0" fontId="11" fillId="2" borderId="0" xfId="57" applyFont="1" applyFill="1" applyAlignment="1">
      <alignment horizontal="left" vertical="center" wrapText="1"/>
    </xf>
    <xf numFmtId="0" fontId="4" fillId="0" borderId="0" xfId="52" applyFont="1" applyAlignment="1">
      <alignment horizontal="left" vertical="center" wrapText="1"/>
    </xf>
  </cellXfs>
  <cellStyles count="61">
    <cellStyle name="Hipervínculo" xfId="60" builtinId="8"/>
    <cellStyle name="Hipervínculo 2" xfId="6"/>
    <cellStyle name="Millares" xfId="18" builtinId="3"/>
    <cellStyle name="Millares [0]" xfId="55" builtinId="6"/>
    <cellStyle name="Millares [0] 2" xfId="15"/>
    <cellStyle name="Millares [0] 2 2" xfId="26"/>
    <cellStyle name="Millares [0] 2 2 2" xfId="45"/>
    <cellStyle name="Millares [0] 2 3" xfId="36"/>
    <cellStyle name="Millares [0] 3" xfId="47"/>
    <cellStyle name="Millares 2" xfId="8"/>
    <cellStyle name="Millares 2 2" xfId="9"/>
    <cellStyle name="Millares 2 2 2" xfId="5"/>
    <cellStyle name="Millares 2 2 2 2" xfId="20"/>
    <cellStyle name="Millares 2 2 2 2 2" xfId="39"/>
    <cellStyle name="Millares 2 2 2 3" xfId="30"/>
    <cellStyle name="Millares 2 2 3" xfId="23"/>
    <cellStyle name="Millares 2 2 3 2" xfId="42"/>
    <cellStyle name="Millares 2 2 4" xfId="33"/>
    <cellStyle name="Millares 2 3" xfId="22"/>
    <cellStyle name="Millares 2 3 2" xfId="41"/>
    <cellStyle name="Millares 2 4" xfId="32"/>
    <cellStyle name="Millares 3" xfId="14"/>
    <cellStyle name="Millares 3 2" xfId="25"/>
    <cellStyle name="Millares 3 2 2" xfId="44"/>
    <cellStyle name="Millares 3 3" xfId="35"/>
    <cellStyle name="Millares 4" xfId="27"/>
    <cellStyle name="Millares 4 2" xfId="46"/>
    <cellStyle name="Millares 5" xfId="37"/>
    <cellStyle name="Millares 6" xfId="48"/>
    <cellStyle name="Moneda" xfId="1" builtinId="4"/>
    <cellStyle name="Moneda 2" xfId="10"/>
    <cellStyle name="Moneda 2 2" xfId="7"/>
    <cellStyle name="Moneda 2 2 2" xfId="21"/>
    <cellStyle name="Moneda 2 2 2 2" xfId="40"/>
    <cellStyle name="Moneda 2 2 2 3" xfId="58"/>
    <cellStyle name="Moneda 2 2 3" xfId="31"/>
    <cellStyle name="Moneda 2 3" xfId="24"/>
    <cellStyle name="Moneda 2 3 2" xfId="43"/>
    <cellStyle name="Moneda 2 4" xfId="34"/>
    <cellStyle name="Moneda 3" xfId="19"/>
    <cellStyle name="Moneda 3 2" xfId="38"/>
    <cellStyle name="Moneda 4" xfId="29"/>
    <cellStyle name="Normal" xfId="0" builtinId="0"/>
    <cellStyle name="Normal 2" xfId="11"/>
    <cellStyle name="Normal 2 2" xfId="4"/>
    <cellStyle name="Normal 2 2 2" xfId="16"/>
    <cellStyle name="Normal 2 2 3" xfId="13"/>
    <cellStyle name="Normal 2 2 3 3" xfId="59"/>
    <cellStyle name="Normal 2 2 4" xfId="56"/>
    <cellStyle name="Normal 2 2 4 3" xfId="57"/>
    <cellStyle name="Normal 2 2 5" xfId="51"/>
    <cellStyle name="Normal 2 3" xfId="50"/>
    <cellStyle name="Normal 2 3 2" xfId="53"/>
    <cellStyle name="Normal 2 4" xfId="52"/>
    <cellStyle name="Normal 3" xfId="2"/>
    <cellStyle name="Normal 3 2" xfId="3"/>
    <cellStyle name="Normal 3 3" xfId="49"/>
    <cellStyle name="Normal 6" xfId="17"/>
    <cellStyle name="Porcentaje" xfId="54" builtinId="5"/>
    <cellStyle name="Porcentaje 2" xfId="12"/>
    <cellStyle name="Porcentaje 2 2"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638969</xdr:colOff>
      <xdr:row>25</xdr:row>
      <xdr:rowOff>575469</xdr:rowOff>
    </xdr:from>
    <xdr:to>
      <xdr:col>2</xdr:col>
      <xdr:colOff>867569</xdr:colOff>
      <xdr:row>25</xdr:row>
      <xdr:rowOff>689769</xdr:rowOff>
    </xdr:to>
    <xdr:sp macro="" textlink="">
      <xdr:nvSpPr>
        <xdr:cNvPr id="2" name="Rectángulo 1">
          <a:extLst>
            <a:ext uri="{FF2B5EF4-FFF2-40B4-BE49-F238E27FC236}">
              <a16:creationId xmlns:a16="http://schemas.microsoft.com/office/drawing/2014/main" id="{BC493488-C560-4D37-8EA3-C48157CC4CF1}"/>
            </a:ext>
          </a:extLst>
        </xdr:cNvPr>
        <xdr:cNvSpPr/>
      </xdr:nvSpPr>
      <xdr:spPr>
        <a:xfrm>
          <a:off x="2855119" y="8963819"/>
          <a:ext cx="228600" cy="11430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632619</xdr:colOff>
      <xdr:row>25</xdr:row>
      <xdr:rowOff>788988</xdr:rowOff>
    </xdr:from>
    <xdr:to>
      <xdr:col>2</xdr:col>
      <xdr:colOff>861219</xdr:colOff>
      <xdr:row>25</xdr:row>
      <xdr:rowOff>903288</xdr:rowOff>
    </xdr:to>
    <xdr:sp macro="" textlink="">
      <xdr:nvSpPr>
        <xdr:cNvPr id="3" name="Rectángulo 2">
          <a:extLst>
            <a:ext uri="{FF2B5EF4-FFF2-40B4-BE49-F238E27FC236}">
              <a16:creationId xmlns:a16="http://schemas.microsoft.com/office/drawing/2014/main" id="{D352AA5C-6F25-44EC-ABA3-DAD90B7EC688}"/>
            </a:ext>
          </a:extLst>
        </xdr:cNvPr>
        <xdr:cNvSpPr/>
      </xdr:nvSpPr>
      <xdr:spPr>
        <a:xfrm>
          <a:off x="2848769" y="9177338"/>
          <a:ext cx="228600" cy="114300"/>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626269</xdr:colOff>
      <xdr:row>25</xdr:row>
      <xdr:rowOff>961231</xdr:rowOff>
    </xdr:from>
    <xdr:to>
      <xdr:col>2</xdr:col>
      <xdr:colOff>854869</xdr:colOff>
      <xdr:row>25</xdr:row>
      <xdr:rowOff>1075531</xdr:rowOff>
    </xdr:to>
    <xdr:sp macro="" textlink="">
      <xdr:nvSpPr>
        <xdr:cNvPr id="4" name="Rectángulo 3">
          <a:extLst>
            <a:ext uri="{FF2B5EF4-FFF2-40B4-BE49-F238E27FC236}">
              <a16:creationId xmlns:a16="http://schemas.microsoft.com/office/drawing/2014/main" id="{EC62EE6C-FA8D-4D4A-9672-F1107852FAA6}"/>
            </a:ext>
          </a:extLst>
        </xdr:cNvPr>
        <xdr:cNvSpPr/>
      </xdr:nvSpPr>
      <xdr:spPr>
        <a:xfrm>
          <a:off x="2842419" y="9349581"/>
          <a:ext cx="228600" cy="114300"/>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xdr:col>
      <xdr:colOff>0</xdr:colOff>
      <xdr:row>0</xdr:row>
      <xdr:rowOff>0</xdr:rowOff>
    </xdr:from>
    <xdr:ext cx="1283242" cy="529167"/>
    <xdr:pic>
      <xdr:nvPicPr>
        <xdr:cNvPr id="5" name="Imagen 4" descr="C:\Users\NELLY\Documents\UPRA\upra madr prosperidad color.jpg">
          <a:extLst>
            <a:ext uri="{FF2B5EF4-FFF2-40B4-BE49-F238E27FC236}">
              <a16:creationId xmlns:a16="http://schemas.microsoft.com/office/drawing/2014/main" id="{8632BF71-2D9E-4DC3-A4E5-BD8B9C505B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5611"/>
        <a:stretch>
          <a:fillRect/>
        </a:stretch>
      </xdr:blipFill>
      <xdr:spPr bwMode="auto">
        <a:xfrm>
          <a:off x="406400" y="0"/>
          <a:ext cx="1283242" cy="529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0</xdr:col>
      <xdr:colOff>304800</xdr:colOff>
      <xdr:row>23</xdr:row>
      <xdr:rowOff>52389</xdr:rowOff>
    </xdr:to>
    <xdr:sp macro="" textlink="">
      <xdr:nvSpPr>
        <xdr:cNvPr id="2" name="AutoShape 1">
          <a:extLst>
            <a:ext uri="{FF2B5EF4-FFF2-40B4-BE49-F238E27FC236}">
              <a16:creationId xmlns:a16="http://schemas.microsoft.com/office/drawing/2014/main" id="{EEA1D9B0-D0DD-49B6-8F73-C1E0BC3285E2}"/>
            </a:ext>
          </a:extLst>
        </xdr:cNvPr>
        <xdr:cNvSpPr>
          <a:spLocks noChangeAspect="1" noChangeArrowheads="1"/>
        </xdr:cNvSpPr>
      </xdr:nvSpPr>
      <xdr:spPr bwMode="auto">
        <a:xfrm>
          <a:off x="0" y="5568950"/>
          <a:ext cx="304800" cy="2301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35</xdr:row>
      <xdr:rowOff>0</xdr:rowOff>
    </xdr:from>
    <xdr:ext cx="304800" cy="304097"/>
    <xdr:sp macro="" textlink="">
      <xdr:nvSpPr>
        <xdr:cNvPr id="3" name="AutoShape 1">
          <a:extLst>
            <a:ext uri="{FF2B5EF4-FFF2-40B4-BE49-F238E27FC236}">
              <a16:creationId xmlns:a16="http://schemas.microsoft.com/office/drawing/2014/main" id="{DF7C561E-B448-47EA-A160-DD944666A5AF}"/>
            </a:ext>
          </a:extLst>
        </xdr:cNvPr>
        <xdr:cNvSpPr>
          <a:spLocks noChangeAspect="1" noChangeArrowheads="1"/>
        </xdr:cNvSpPr>
      </xdr:nvSpPr>
      <xdr:spPr bwMode="auto">
        <a:xfrm>
          <a:off x="0" y="115570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0</xdr:col>
      <xdr:colOff>304800</xdr:colOff>
      <xdr:row>33</xdr:row>
      <xdr:rowOff>36515</xdr:rowOff>
    </xdr:to>
    <xdr:sp macro="" textlink="">
      <xdr:nvSpPr>
        <xdr:cNvPr id="2" name="AutoShape 1">
          <a:extLst>
            <a:ext uri="{FF2B5EF4-FFF2-40B4-BE49-F238E27FC236}">
              <a16:creationId xmlns:a16="http://schemas.microsoft.com/office/drawing/2014/main" id="{7062CF5F-5819-4DF4-8B6F-B27A9A188642}"/>
            </a:ext>
          </a:extLst>
        </xdr:cNvPr>
        <xdr:cNvSpPr>
          <a:spLocks noChangeAspect="1" noChangeArrowheads="1"/>
        </xdr:cNvSpPr>
      </xdr:nvSpPr>
      <xdr:spPr bwMode="auto">
        <a:xfrm>
          <a:off x="0" y="6985000"/>
          <a:ext cx="304800" cy="2143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37</xdr:row>
      <xdr:rowOff>0</xdr:rowOff>
    </xdr:from>
    <xdr:ext cx="304800" cy="304097"/>
    <xdr:sp macro="" textlink="">
      <xdr:nvSpPr>
        <xdr:cNvPr id="3" name="AutoShape 1">
          <a:extLst>
            <a:ext uri="{FF2B5EF4-FFF2-40B4-BE49-F238E27FC236}">
              <a16:creationId xmlns:a16="http://schemas.microsoft.com/office/drawing/2014/main" id="{5021D7F5-C1B3-487E-9F0C-2BC447AA61CD}"/>
            </a:ext>
          </a:extLst>
        </xdr:cNvPr>
        <xdr:cNvSpPr>
          <a:spLocks noChangeAspect="1" noChangeArrowheads="1"/>
        </xdr:cNvSpPr>
      </xdr:nvSpPr>
      <xdr:spPr bwMode="auto">
        <a:xfrm>
          <a:off x="0" y="108077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0</xdr:col>
      <xdr:colOff>304800</xdr:colOff>
      <xdr:row>34</xdr:row>
      <xdr:rowOff>52389</xdr:rowOff>
    </xdr:to>
    <xdr:sp macro="" textlink="">
      <xdr:nvSpPr>
        <xdr:cNvPr id="2" name="AutoShape 1">
          <a:extLst>
            <a:ext uri="{FF2B5EF4-FFF2-40B4-BE49-F238E27FC236}">
              <a16:creationId xmlns:a16="http://schemas.microsoft.com/office/drawing/2014/main" id="{FB1EB374-8CB8-4E42-ADC6-1E3816D11474}"/>
            </a:ext>
          </a:extLst>
        </xdr:cNvPr>
        <xdr:cNvSpPr>
          <a:spLocks noChangeAspect="1" noChangeArrowheads="1"/>
        </xdr:cNvSpPr>
      </xdr:nvSpPr>
      <xdr:spPr bwMode="auto">
        <a:xfrm>
          <a:off x="0" y="9334500"/>
          <a:ext cx="304800" cy="2338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40</xdr:row>
      <xdr:rowOff>0</xdr:rowOff>
    </xdr:from>
    <xdr:ext cx="304800" cy="304097"/>
    <xdr:sp macro="" textlink="">
      <xdr:nvSpPr>
        <xdr:cNvPr id="3" name="AutoShape 1">
          <a:extLst>
            <a:ext uri="{FF2B5EF4-FFF2-40B4-BE49-F238E27FC236}">
              <a16:creationId xmlns:a16="http://schemas.microsoft.com/office/drawing/2014/main" id="{42DFE397-72E9-48F2-A21E-09E3A9083E8D}"/>
            </a:ext>
          </a:extLst>
        </xdr:cNvPr>
        <xdr:cNvSpPr>
          <a:spLocks noChangeAspect="1" noChangeArrowheads="1"/>
        </xdr:cNvSpPr>
      </xdr:nvSpPr>
      <xdr:spPr bwMode="auto">
        <a:xfrm>
          <a:off x="0" y="135255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097"/>
    <xdr:sp macro="" textlink="">
      <xdr:nvSpPr>
        <xdr:cNvPr id="4" name="AutoShape 1">
          <a:extLst>
            <a:ext uri="{FF2B5EF4-FFF2-40B4-BE49-F238E27FC236}">
              <a16:creationId xmlns:a16="http://schemas.microsoft.com/office/drawing/2014/main" id="{883C5827-EA30-41D9-96F3-B7BF73FA3497}"/>
            </a:ext>
          </a:extLst>
        </xdr:cNvPr>
        <xdr:cNvSpPr>
          <a:spLocks noChangeAspect="1" noChangeArrowheads="1"/>
        </xdr:cNvSpPr>
      </xdr:nvSpPr>
      <xdr:spPr bwMode="auto">
        <a:xfrm>
          <a:off x="0" y="18532929"/>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333375</xdr:colOff>
      <xdr:row>0</xdr:row>
      <xdr:rowOff>0</xdr:rowOff>
    </xdr:from>
    <xdr:ext cx="1283242" cy="529167"/>
    <xdr:pic>
      <xdr:nvPicPr>
        <xdr:cNvPr id="2" name="Imagen 1" descr="C:\Users\NELLY\Documents\UPRA\upra madr prosperidad color.jpg">
          <a:extLst>
            <a:ext uri="{FF2B5EF4-FFF2-40B4-BE49-F238E27FC236}">
              <a16:creationId xmlns:a16="http://schemas.microsoft.com/office/drawing/2014/main" id="{0F16CDCA-957A-4632-8350-589ABEA275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5611"/>
        <a:stretch>
          <a:fillRect/>
        </a:stretch>
      </xdr:blipFill>
      <xdr:spPr bwMode="auto">
        <a:xfrm>
          <a:off x="390525" y="0"/>
          <a:ext cx="1283242" cy="529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15</xdr:col>
      <xdr:colOff>198436</xdr:colOff>
      <xdr:row>0</xdr:row>
      <xdr:rowOff>23806</xdr:rowOff>
    </xdr:from>
    <xdr:to>
      <xdr:col>16</xdr:col>
      <xdr:colOff>1338270</xdr:colOff>
      <xdr:row>2</xdr:row>
      <xdr:rowOff>154067</xdr:rowOff>
    </xdr:to>
    <xdr:pic>
      <xdr:nvPicPr>
        <xdr:cNvPr id="3" name="Imagen 2">
          <a:extLst>
            <a:ext uri="{FF2B5EF4-FFF2-40B4-BE49-F238E27FC236}">
              <a16:creationId xmlns:a16="http://schemas.microsoft.com/office/drawing/2014/main" id="{9689747B-BB2C-4D3D-B01C-56FFE7D006A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235" r="34137" b="13235"/>
        <a:stretch/>
      </xdr:blipFill>
      <xdr:spPr>
        <a:xfrm>
          <a:off x="12193586" y="23806"/>
          <a:ext cx="2301884" cy="498561"/>
        </a:xfrm>
        <a:prstGeom prst="rect">
          <a:avLst/>
        </a:prstGeom>
      </xdr:spPr>
    </xdr:pic>
    <xdr:clientData/>
  </xdr:twoCellAnchor>
  <xdr:twoCellAnchor>
    <xdr:from>
      <xdr:col>11</xdr:col>
      <xdr:colOff>492950</xdr:colOff>
      <xdr:row>12</xdr:row>
      <xdr:rowOff>145143</xdr:rowOff>
    </xdr:from>
    <xdr:to>
      <xdr:col>15</xdr:col>
      <xdr:colOff>217715</xdr:colOff>
      <xdr:row>16</xdr:row>
      <xdr:rowOff>0</xdr:rowOff>
    </xdr:to>
    <xdr:sp macro="" textlink="">
      <xdr:nvSpPr>
        <xdr:cNvPr id="4" name="Rectángulo 3">
          <a:extLst>
            <a:ext uri="{FF2B5EF4-FFF2-40B4-BE49-F238E27FC236}">
              <a16:creationId xmlns:a16="http://schemas.microsoft.com/office/drawing/2014/main" id="{327C3A8E-24EB-411D-98D4-2466689C6544}"/>
            </a:ext>
          </a:extLst>
        </xdr:cNvPr>
        <xdr:cNvSpPr/>
      </xdr:nvSpPr>
      <xdr:spPr>
        <a:xfrm>
          <a:off x="9910000" y="9746343"/>
          <a:ext cx="2302865" cy="2706007"/>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827616</xdr:colOff>
      <xdr:row>140</xdr:row>
      <xdr:rowOff>84667</xdr:rowOff>
    </xdr:from>
    <xdr:to>
      <xdr:col>2</xdr:col>
      <xdr:colOff>3153833</xdr:colOff>
      <xdr:row>152</xdr:row>
      <xdr:rowOff>45583</xdr:rowOff>
    </xdr:to>
    <xdr:pic>
      <xdr:nvPicPr>
        <xdr:cNvPr id="2" name="Imagen 1">
          <a:extLst>
            <a:ext uri="{FF2B5EF4-FFF2-40B4-BE49-F238E27FC236}">
              <a16:creationId xmlns:a16="http://schemas.microsoft.com/office/drawing/2014/main" id="{988301F7-9D94-4A58-8FB9-82298EE6371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62" r="18053"/>
        <a:stretch/>
      </xdr:blipFill>
      <xdr:spPr bwMode="auto">
        <a:xfrm>
          <a:off x="7882466" y="25110017"/>
          <a:ext cx="2326217" cy="2094516"/>
        </a:xfrm>
        <a:prstGeom prst="rect">
          <a:avLst/>
        </a:prstGeom>
        <a:noFill/>
        <a:ln w="12700">
          <a:solidFill>
            <a:schemeClr val="tx1"/>
          </a:solidFill>
        </a:ln>
        <a:extLst>
          <a:ext uri="{53640926-AAD7-44D8-BBD7-CCE9431645EC}">
            <a14:shadowObscured xmlns:a14="http://schemas.microsoft.com/office/drawing/2010/main"/>
          </a:ext>
        </a:extLst>
      </xdr:spPr>
    </xdr:pic>
    <xdr:clientData/>
  </xdr:twoCellAnchor>
  <xdr:twoCellAnchor editAs="oneCell">
    <xdr:from>
      <xdr:col>24</xdr:col>
      <xdr:colOff>467933</xdr:colOff>
      <xdr:row>158</xdr:row>
      <xdr:rowOff>16631</xdr:rowOff>
    </xdr:from>
    <xdr:to>
      <xdr:col>38</xdr:col>
      <xdr:colOff>90712</xdr:colOff>
      <xdr:row>174</xdr:row>
      <xdr:rowOff>107248</xdr:rowOff>
    </xdr:to>
    <xdr:pic>
      <xdr:nvPicPr>
        <xdr:cNvPr id="3" name="Imagen 2">
          <a:extLst>
            <a:ext uri="{FF2B5EF4-FFF2-40B4-BE49-F238E27FC236}">
              <a16:creationId xmlns:a16="http://schemas.microsoft.com/office/drawing/2014/main" id="{7B96F678-CE48-4971-8D86-8C6ED5AFBD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09183" y="28255081"/>
          <a:ext cx="10913079" cy="2935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24</xdr:col>
      <xdr:colOff>467933</xdr:colOff>
      <xdr:row>196</xdr:row>
      <xdr:rowOff>16631</xdr:rowOff>
    </xdr:from>
    <xdr:ext cx="10925778" cy="2993476"/>
    <xdr:pic>
      <xdr:nvPicPr>
        <xdr:cNvPr id="4" name="Imagen 3">
          <a:extLst>
            <a:ext uri="{FF2B5EF4-FFF2-40B4-BE49-F238E27FC236}">
              <a16:creationId xmlns:a16="http://schemas.microsoft.com/office/drawing/2014/main" id="{2B08DB5F-D77E-497E-B25B-F7DAABA5D0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09183" y="35024181"/>
          <a:ext cx="10925778" cy="29934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0</xdr:col>
      <xdr:colOff>304800</xdr:colOff>
      <xdr:row>22</xdr:row>
      <xdr:rowOff>52390</xdr:rowOff>
    </xdr:to>
    <xdr:sp macro="" textlink="">
      <xdr:nvSpPr>
        <xdr:cNvPr id="2" name="AutoShape 1">
          <a:extLst>
            <a:ext uri="{FF2B5EF4-FFF2-40B4-BE49-F238E27FC236}">
              <a16:creationId xmlns:a16="http://schemas.microsoft.com/office/drawing/2014/main" id="{07409E94-505C-49F7-A2DC-EA03630D5307}"/>
            </a:ext>
          </a:extLst>
        </xdr:cNvPr>
        <xdr:cNvSpPr>
          <a:spLocks noChangeAspect="1" noChangeArrowheads="1"/>
        </xdr:cNvSpPr>
      </xdr:nvSpPr>
      <xdr:spPr bwMode="auto">
        <a:xfrm>
          <a:off x="0" y="5308600"/>
          <a:ext cx="304800" cy="2301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41</xdr:row>
      <xdr:rowOff>0</xdr:rowOff>
    </xdr:from>
    <xdr:ext cx="304800" cy="304097"/>
    <xdr:sp macro="" textlink="">
      <xdr:nvSpPr>
        <xdr:cNvPr id="3" name="AutoShape 1">
          <a:extLst>
            <a:ext uri="{FF2B5EF4-FFF2-40B4-BE49-F238E27FC236}">
              <a16:creationId xmlns:a16="http://schemas.microsoft.com/office/drawing/2014/main" id="{88AB1F32-62FC-4FA2-983B-230FF0BC3074}"/>
            </a:ext>
          </a:extLst>
        </xdr:cNvPr>
        <xdr:cNvSpPr>
          <a:spLocks noChangeAspect="1" noChangeArrowheads="1"/>
        </xdr:cNvSpPr>
      </xdr:nvSpPr>
      <xdr:spPr bwMode="auto">
        <a:xfrm>
          <a:off x="0" y="95440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0</xdr:col>
      <xdr:colOff>304800</xdr:colOff>
      <xdr:row>31</xdr:row>
      <xdr:rowOff>52389</xdr:rowOff>
    </xdr:to>
    <xdr:sp macro="" textlink="">
      <xdr:nvSpPr>
        <xdr:cNvPr id="2" name="AutoShape 1">
          <a:extLst>
            <a:ext uri="{FF2B5EF4-FFF2-40B4-BE49-F238E27FC236}">
              <a16:creationId xmlns:a16="http://schemas.microsoft.com/office/drawing/2014/main" id="{3AE7B8FB-B1F7-405C-A338-D5AAC7F1F187}"/>
            </a:ext>
          </a:extLst>
        </xdr:cNvPr>
        <xdr:cNvSpPr>
          <a:spLocks noChangeAspect="1" noChangeArrowheads="1"/>
        </xdr:cNvSpPr>
      </xdr:nvSpPr>
      <xdr:spPr bwMode="auto">
        <a:xfrm>
          <a:off x="0" y="5880100"/>
          <a:ext cx="304800" cy="2301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59</xdr:row>
      <xdr:rowOff>0</xdr:rowOff>
    </xdr:from>
    <xdr:ext cx="304800" cy="304097"/>
    <xdr:sp macro="" textlink="">
      <xdr:nvSpPr>
        <xdr:cNvPr id="3" name="AutoShape 1">
          <a:extLst>
            <a:ext uri="{FF2B5EF4-FFF2-40B4-BE49-F238E27FC236}">
              <a16:creationId xmlns:a16="http://schemas.microsoft.com/office/drawing/2014/main" id="{27C88AC6-22E3-4C44-B10B-179C95B76F3F}"/>
            </a:ext>
          </a:extLst>
        </xdr:cNvPr>
        <xdr:cNvSpPr>
          <a:spLocks noChangeAspect="1" noChangeArrowheads="1"/>
        </xdr:cNvSpPr>
      </xdr:nvSpPr>
      <xdr:spPr bwMode="auto">
        <a:xfrm>
          <a:off x="0" y="164592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232306"/>
    <xdr:sp macro="" textlink="">
      <xdr:nvSpPr>
        <xdr:cNvPr id="4" name="AutoShape 1">
          <a:extLst>
            <a:ext uri="{FF2B5EF4-FFF2-40B4-BE49-F238E27FC236}">
              <a16:creationId xmlns:a16="http://schemas.microsoft.com/office/drawing/2014/main" id="{5B01FE51-4DFF-4BAA-A168-A49CBB43F271}"/>
            </a:ext>
          </a:extLst>
        </xdr:cNvPr>
        <xdr:cNvSpPr>
          <a:spLocks noChangeAspect="1" noChangeArrowheads="1"/>
        </xdr:cNvSpPr>
      </xdr:nvSpPr>
      <xdr:spPr bwMode="auto">
        <a:xfrm>
          <a:off x="0" y="14859000"/>
          <a:ext cx="304800" cy="2323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0</xdr:col>
      <xdr:colOff>304800</xdr:colOff>
      <xdr:row>27</xdr:row>
      <xdr:rowOff>33341</xdr:rowOff>
    </xdr:to>
    <xdr:sp macro="" textlink="">
      <xdr:nvSpPr>
        <xdr:cNvPr id="2" name="AutoShape 1">
          <a:extLst>
            <a:ext uri="{FF2B5EF4-FFF2-40B4-BE49-F238E27FC236}">
              <a16:creationId xmlns:a16="http://schemas.microsoft.com/office/drawing/2014/main" id="{B8E50937-466B-41C3-81F2-DCF6754A1044}"/>
            </a:ext>
          </a:extLst>
        </xdr:cNvPr>
        <xdr:cNvSpPr>
          <a:spLocks noChangeAspect="1" noChangeArrowheads="1"/>
        </xdr:cNvSpPr>
      </xdr:nvSpPr>
      <xdr:spPr bwMode="auto">
        <a:xfrm>
          <a:off x="0" y="5327650"/>
          <a:ext cx="304800" cy="2111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37</xdr:row>
      <xdr:rowOff>0</xdr:rowOff>
    </xdr:from>
    <xdr:ext cx="304800" cy="304097"/>
    <xdr:sp macro="" textlink="">
      <xdr:nvSpPr>
        <xdr:cNvPr id="3" name="AutoShape 1">
          <a:extLst>
            <a:ext uri="{FF2B5EF4-FFF2-40B4-BE49-F238E27FC236}">
              <a16:creationId xmlns:a16="http://schemas.microsoft.com/office/drawing/2014/main" id="{B189B546-33B1-450E-BA81-BF39E28C3FE9}"/>
            </a:ext>
          </a:extLst>
        </xdr:cNvPr>
        <xdr:cNvSpPr>
          <a:spLocks noChangeAspect="1" noChangeArrowheads="1"/>
        </xdr:cNvSpPr>
      </xdr:nvSpPr>
      <xdr:spPr bwMode="auto">
        <a:xfrm>
          <a:off x="0" y="95885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097"/>
    <xdr:sp macro="" textlink="">
      <xdr:nvSpPr>
        <xdr:cNvPr id="4" name="AutoShape 1">
          <a:extLst>
            <a:ext uri="{FF2B5EF4-FFF2-40B4-BE49-F238E27FC236}">
              <a16:creationId xmlns:a16="http://schemas.microsoft.com/office/drawing/2014/main" id="{FFD7AE58-E879-42D0-AD39-9C00CB7A3D4D}"/>
            </a:ext>
          </a:extLst>
        </xdr:cNvPr>
        <xdr:cNvSpPr>
          <a:spLocks noChangeAspect="1" noChangeArrowheads="1"/>
        </xdr:cNvSpPr>
      </xdr:nvSpPr>
      <xdr:spPr bwMode="auto">
        <a:xfrm>
          <a:off x="0" y="164084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097"/>
    <xdr:sp macro="" textlink="">
      <xdr:nvSpPr>
        <xdr:cNvPr id="5" name="AutoShape 1">
          <a:extLst>
            <a:ext uri="{FF2B5EF4-FFF2-40B4-BE49-F238E27FC236}">
              <a16:creationId xmlns:a16="http://schemas.microsoft.com/office/drawing/2014/main" id="{4EB91C7C-B5D4-4E57-8E57-4B0AF88E2A0F}"/>
            </a:ext>
          </a:extLst>
        </xdr:cNvPr>
        <xdr:cNvSpPr>
          <a:spLocks noChangeAspect="1" noChangeArrowheads="1"/>
        </xdr:cNvSpPr>
      </xdr:nvSpPr>
      <xdr:spPr bwMode="auto">
        <a:xfrm>
          <a:off x="0" y="164084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xdr:row>
      <xdr:rowOff>0</xdr:rowOff>
    </xdr:from>
    <xdr:ext cx="304800" cy="304097"/>
    <xdr:sp macro="" textlink="">
      <xdr:nvSpPr>
        <xdr:cNvPr id="6" name="AutoShape 1">
          <a:extLst>
            <a:ext uri="{FF2B5EF4-FFF2-40B4-BE49-F238E27FC236}">
              <a16:creationId xmlns:a16="http://schemas.microsoft.com/office/drawing/2014/main" id="{250FB0AA-352A-44C9-9855-CD37DAD3DD58}"/>
            </a:ext>
          </a:extLst>
        </xdr:cNvPr>
        <xdr:cNvSpPr>
          <a:spLocks noChangeAspect="1" noChangeArrowheads="1"/>
        </xdr:cNvSpPr>
      </xdr:nvSpPr>
      <xdr:spPr bwMode="auto">
        <a:xfrm>
          <a:off x="0" y="236410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121</xdr:row>
      <xdr:rowOff>0</xdr:rowOff>
    </xdr:from>
    <xdr:ext cx="304800" cy="304097"/>
    <xdr:sp macro="" textlink="">
      <xdr:nvSpPr>
        <xdr:cNvPr id="7" name="AutoShape 1">
          <a:extLst>
            <a:ext uri="{FF2B5EF4-FFF2-40B4-BE49-F238E27FC236}">
              <a16:creationId xmlns:a16="http://schemas.microsoft.com/office/drawing/2014/main" id="{D4ACF0D1-1143-46D4-BC55-45607220AA0F}"/>
            </a:ext>
          </a:extLst>
        </xdr:cNvPr>
        <xdr:cNvSpPr>
          <a:spLocks noChangeAspect="1" noChangeArrowheads="1"/>
        </xdr:cNvSpPr>
      </xdr:nvSpPr>
      <xdr:spPr bwMode="auto">
        <a:xfrm>
          <a:off x="0" y="311912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25</xdr:row>
      <xdr:rowOff>0</xdr:rowOff>
    </xdr:from>
    <xdr:to>
      <xdr:col>0</xdr:col>
      <xdr:colOff>304800</xdr:colOff>
      <xdr:row>26</xdr:row>
      <xdr:rowOff>36515</xdr:rowOff>
    </xdr:to>
    <xdr:sp macro="" textlink="">
      <xdr:nvSpPr>
        <xdr:cNvPr id="2" name="AutoShape 1">
          <a:extLst>
            <a:ext uri="{FF2B5EF4-FFF2-40B4-BE49-F238E27FC236}">
              <a16:creationId xmlns:a16="http://schemas.microsoft.com/office/drawing/2014/main" id="{888A93CC-0E86-4660-9B57-1CA3CCD255AA}"/>
            </a:ext>
          </a:extLst>
        </xdr:cNvPr>
        <xdr:cNvSpPr>
          <a:spLocks noChangeAspect="1" noChangeArrowheads="1"/>
        </xdr:cNvSpPr>
      </xdr:nvSpPr>
      <xdr:spPr bwMode="auto">
        <a:xfrm>
          <a:off x="0" y="6000750"/>
          <a:ext cx="304800" cy="2143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28</xdr:row>
      <xdr:rowOff>0</xdr:rowOff>
    </xdr:from>
    <xdr:ext cx="304800" cy="304097"/>
    <xdr:sp macro="" textlink="">
      <xdr:nvSpPr>
        <xdr:cNvPr id="3" name="AutoShape 1">
          <a:extLst>
            <a:ext uri="{FF2B5EF4-FFF2-40B4-BE49-F238E27FC236}">
              <a16:creationId xmlns:a16="http://schemas.microsoft.com/office/drawing/2014/main" id="{1FE39561-62B7-4A9A-85C2-27B0F2EC6DCE}"/>
            </a:ext>
          </a:extLst>
        </xdr:cNvPr>
        <xdr:cNvSpPr>
          <a:spLocks noChangeAspect="1" noChangeArrowheads="1"/>
        </xdr:cNvSpPr>
      </xdr:nvSpPr>
      <xdr:spPr bwMode="auto">
        <a:xfrm>
          <a:off x="0" y="86804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25</xdr:row>
      <xdr:rowOff>0</xdr:rowOff>
    </xdr:from>
    <xdr:to>
      <xdr:col>0</xdr:col>
      <xdr:colOff>304800</xdr:colOff>
      <xdr:row>26</xdr:row>
      <xdr:rowOff>52390</xdr:rowOff>
    </xdr:to>
    <xdr:sp macro="" textlink="">
      <xdr:nvSpPr>
        <xdr:cNvPr id="2" name="AutoShape 1">
          <a:extLst>
            <a:ext uri="{FF2B5EF4-FFF2-40B4-BE49-F238E27FC236}">
              <a16:creationId xmlns:a16="http://schemas.microsoft.com/office/drawing/2014/main" id="{024DFBC0-E3EE-4937-B37D-73EA789DEAF6}"/>
            </a:ext>
          </a:extLst>
        </xdr:cNvPr>
        <xdr:cNvSpPr>
          <a:spLocks noChangeAspect="1" noChangeArrowheads="1"/>
        </xdr:cNvSpPr>
      </xdr:nvSpPr>
      <xdr:spPr bwMode="auto">
        <a:xfrm>
          <a:off x="0" y="5372100"/>
          <a:ext cx="304800" cy="2301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41</xdr:row>
      <xdr:rowOff>0</xdr:rowOff>
    </xdr:from>
    <xdr:ext cx="304800" cy="304097"/>
    <xdr:sp macro="" textlink="">
      <xdr:nvSpPr>
        <xdr:cNvPr id="3" name="AutoShape 1">
          <a:extLst>
            <a:ext uri="{FF2B5EF4-FFF2-40B4-BE49-F238E27FC236}">
              <a16:creationId xmlns:a16="http://schemas.microsoft.com/office/drawing/2014/main" id="{22E6772B-A49A-41B8-A0D8-03AAD4D7BF5B}"/>
            </a:ext>
          </a:extLst>
        </xdr:cNvPr>
        <xdr:cNvSpPr>
          <a:spLocks noChangeAspect="1" noChangeArrowheads="1"/>
        </xdr:cNvSpPr>
      </xdr:nvSpPr>
      <xdr:spPr bwMode="auto">
        <a:xfrm>
          <a:off x="0" y="114173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0</xdr:col>
      <xdr:colOff>304800</xdr:colOff>
      <xdr:row>27</xdr:row>
      <xdr:rowOff>55564</xdr:rowOff>
    </xdr:to>
    <xdr:sp macro="" textlink="">
      <xdr:nvSpPr>
        <xdr:cNvPr id="2" name="AutoShape 1">
          <a:extLst>
            <a:ext uri="{FF2B5EF4-FFF2-40B4-BE49-F238E27FC236}">
              <a16:creationId xmlns:a16="http://schemas.microsoft.com/office/drawing/2014/main" id="{0D530E41-675B-46D3-9F43-012B9485BD35}"/>
            </a:ext>
          </a:extLst>
        </xdr:cNvPr>
        <xdr:cNvSpPr>
          <a:spLocks noChangeAspect="1" noChangeArrowheads="1"/>
        </xdr:cNvSpPr>
      </xdr:nvSpPr>
      <xdr:spPr bwMode="auto">
        <a:xfrm>
          <a:off x="0" y="5568950"/>
          <a:ext cx="304800" cy="2301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42</xdr:row>
      <xdr:rowOff>0</xdr:rowOff>
    </xdr:from>
    <xdr:ext cx="304800" cy="304097"/>
    <xdr:sp macro="" textlink="">
      <xdr:nvSpPr>
        <xdr:cNvPr id="3" name="AutoShape 1">
          <a:extLst>
            <a:ext uri="{FF2B5EF4-FFF2-40B4-BE49-F238E27FC236}">
              <a16:creationId xmlns:a16="http://schemas.microsoft.com/office/drawing/2014/main" id="{C05CEE11-F5AE-4BFB-B275-E463844DD3C3}"/>
            </a:ext>
          </a:extLst>
        </xdr:cNvPr>
        <xdr:cNvSpPr>
          <a:spLocks noChangeAspect="1" noChangeArrowheads="1"/>
        </xdr:cNvSpPr>
      </xdr:nvSpPr>
      <xdr:spPr bwMode="auto">
        <a:xfrm>
          <a:off x="0" y="113792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097"/>
    <xdr:sp macro="" textlink="">
      <xdr:nvSpPr>
        <xdr:cNvPr id="4" name="AutoShape 1">
          <a:extLst>
            <a:ext uri="{FF2B5EF4-FFF2-40B4-BE49-F238E27FC236}">
              <a16:creationId xmlns:a16="http://schemas.microsoft.com/office/drawing/2014/main" id="{4137E07B-33CD-4255-9D01-B1802C9D73AB}"/>
            </a:ext>
          </a:extLst>
        </xdr:cNvPr>
        <xdr:cNvSpPr>
          <a:spLocks noChangeAspect="1" noChangeArrowheads="1"/>
        </xdr:cNvSpPr>
      </xdr:nvSpPr>
      <xdr:spPr bwMode="auto">
        <a:xfrm>
          <a:off x="0" y="147320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xdr:row>
      <xdr:rowOff>0</xdr:rowOff>
    </xdr:from>
    <xdr:ext cx="304800" cy="304097"/>
    <xdr:sp macro="" textlink="">
      <xdr:nvSpPr>
        <xdr:cNvPr id="5" name="AutoShape 1">
          <a:extLst>
            <a:ext uri="{FF2B5EF4-FFF2-40B4-BE49-F238E27FC236}">
              <a16:creationId xmlns:a16="http://schemas.microsoft.com/office/drawing/2014/main" id="{A2B6F9E4-7267-4CDC-ACB3-F35D9A28CD5E}"/>
            </a:ext>
          </a:extLst>
        </xdr:cNvPr>
        <xdr:cNvSpPr>
          <a:spLocks noChangeAspect="1" noChangeArrowheads="1"/>
        </xdr:cNvSpPr>
      </xdr:nvSpPr>
      <xdr:spPr bwMode="auto">
        <a:xfrm>
          <a:off x="0" y="2078990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119</xdr:row>
      <xdr:rowOff>0</xdr:rowOff>
    </xdr:from>
    <xdr:ext cx="304800" cy="304097"/>
    <xdr:sp macro="" textlink="">
      <xdr:nvSpPr>
        <xdr:cNvPr id="6" name="AutoShape 1">
          <a:extLst>
            <a:ext uri="{FF2B5EF4-FFF2-40B4-BE49-F238E27FC236}">
              <a16:creationId xmlns:a16="http://schemas.microsoft.com/office/drawing/2014/main" id="{4C2DEC4B-93B1-4F50-85D9-7240860140F1}"/>
            </a:ext>
          </a:extLst>
        </xdr:cNvPr>
        <xdr:cNvSpPr>
          <a:spLocks noChangeAspect="1" noChangeArrowheads="1"/>
        </xdr:cNvSpPr>
      </xdr:nvSpPr>
      <xdr:spPr bwMode="auto">
        <a:xfrm>
          <a:off x="0" y="29051250"/>
          <a:ext cx="304800" cy="30409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ngela%20Toro\Google%20Drive\0.%20UPRA_Personal%20(2017)\4.Productos\3.%20Abril\20170412_DDT_AnexM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Angela%20Toro/Google%20Drive/0.%20UPRA_Personal%20(2017)/4.Productos/3.%20Abril/20170412_DDT_AnexM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crodriguez\Buzon%20comex\pais%20posara%20tra%20EXPO%20Product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Ncrodriguez/Buzon%20comex/pais%20posara%20tra%20EXPO%20Product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Users/GERENCIA/Downloads/CAT&#193;LOGO%20DE%20PRODUCTOS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GERENCIA\Downloads\CAT&#193;LOGO%20DE%20PRODUC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Cuentas_Corrientes"/>
      <sheetName val="Cuentas_Acumulacion"/>
      <sheetName val="Configuracion"/>
      <sheetName val="Detalle"/>
      <sheetName val="Validacion"/>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Precios"/>
      <sheetName val="Gr_Precios"/>
      <sheetName val="Parámetros"/>
      <sheetName val="TD"/>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FUENTES FINANCIACION"/>
      <sheetName val="INGRESOS BENEFICIOS"/>
      <sheetName val="DEPRECIACION"/>
      <sheetName val="CATÁLOGO DE PRODUCTOS_2021"/>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repositorio.unal.edu.co/bitstream/handle/unal/52670/29671914-Gloria.pdf?sequence=1" TargetMode="External"/><Relationship Id="rId1" Type="http://schemas.openxmlformats.org/officeDocument/2006/relationships/hyperlink" Target="https://www.dnp.gov.co/DNP/contratacion"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B1:L48"/>
  <sheetViews>
    <sheetView showGridLines="0" tabSelected="1" zoomScale="90" zoomScaleNormal="90" workbookViewId="0">
      <selection activeCell="B11" sqref="B11:C12"/>
    </sheetView>
  </sheetViews>
  <sheetFormatPr baseColWidth="10" defaultColWidth="10.85546875" defaultRowHeight="14.25" x14ac:dyDescent="0.2"/>
  <cols>
    <col min="1" max="1" width="5.85546875" style="1" customWidth="1"/>
    <col min="2" max="2" width="25.85546875" style="1" customWidth="1"/>
    <col min="3" max="3" width="103.42578125" style="1" customWidth="1"/>
    <col min="4" max="16384" width="10.85546875" style="1"/>
  </cols>
  <sheetData>
    <row r="1" spans="2:12" ht="24.75" customHeight="1" x14ac:dyDescent="0.2">
      <c r="B1" s="632"/>
      <c r="C1" s="632"/>
      <c r="E1" s="2"/>
      <c r="F1" s="2"/>
      <c r="G1" s="2"/>
      <c r="H1" s="2"/>
      <c r="I1" s="2"/>
      <c r="J1" s="2"/>
      <c r="K1" s="2"/>
      <c r="L1" s="2"/>
    </row>
    <row r="2" spans="2:12" ht="18" customHeight="1" thickBot="1" x14ac:dyDescent="0.3">
      <c r="B2" s="633" t="s">
        <v>0</v>
      </c>
      <c r="C2" s="633"/>
      <c r="D2" s="3"/>
      <c r="E2" s="2"/>
      <c r="F2" s="2"/>
      <c r="G2" s="2"/>
      <c r="H2" s="2"/>
      <c r="I2" s="2"/>
      <c r="J2" s="2"/>
      <c r="K2" s="2"/>
      <c r="L2" s="2"/>
    </row>
    <row r="3" spans="2:12" ht="13.5" customHeight="1" x14ac:dyDescent="0.2">
      <c r="B3" s="634" t="s">
        <v>441</v>
      </c>
      <c r="C3" s="635"/>
      <c r="D3" s="2"/>
      <c r="E3" s="2"/>
      <c r="F3" s="2"/>
      <c r="G3" s="2"/>
      <c r="H3" s="2"/>
      <c r="I3" s="2"/>
      <c r="J3" s="2"/>
      <c r="K3" s="2"/>
      <c r="L3" s="2"/>
    </row>
    <row r="4" spans="2:12" s="5" customFormat="1" ht="98.25" customHeight="1" thickBot="1" x14ac:dyDescent="0.25">
      <c r="B4" s="636"/>
      <c r="C4" s="637"/>
      <c r="D4" s="4"/>
      <c r="E4" s="2"/>
      <c r="F4" s="2"/>
      <c r="G4" s="2"/>
      <c r="H4" s="2"/>
      <c r="I4" s="2"/>
      <c r="J4" s="2"/>
      <c r="K4" s="2"/>
      <c r="L4" s="2"/>
    </row>
    <row r="5" spans="2:12" s="5" customFormat="1" ht="24.75" customHeight="1" thickBot="1" x14ac:dyDescent="0.25">
      <c r="B5" s="6"/>
      <c r="C5" s="6"/>
      <c r="D5" s="4"/>
      <c r="E5" s="4"/>
      <c r="F5" s="4"/>
      <c r="G5" s="4"/>
      <c r="H5" s="4"/>
      <c r="I5" s="4"/>
      <c r="J5" s="4"/>
    </row>
    <row r="6" spans="2:12" s="8" customFormat="1" ht="20.25" customHeight="1" thickBot="1" x14ac:dyDescent="0.3">
      <c r="B6" s="638" t="s">
        <v>1</v>
      </c>
      <c r="C6" s="639"/>
      <c r="D6" s="7"/>
      <c r="E6" s="7"/>
      <c r="F6" s="7"/>
      <c r="G6" s="7"/>
      <c r="H6" s="7"/>
      <c r="I6" s="7"/>
      <c r="J6" s="7"/>
    </row>
    <row r="7" spans="2:12" s="5" customFormat="1" ht="11.45" customHeight="1" x14ac:dyDescent="0.2">
      <c r="B7" s="640" t="s">
        <v>2</v>
      </c>
      <c r="C7" s="640"/>
      <c r="D7" s="4"/>
      <c r="E7" s="4"/>
      <c r="F7" s="4"/>
      <c r="G7" s="4"/>
      <c r="H7" s="4"/>
      <c r="I7" s="4"/>
      <c r="J7" s="4"/>
    </row>
    <row r="8" spans="2:12" s="4" customFormat="1" ht="21.95" customHeight="1" x14ac:dyDescent="0.2">
      <c r="B8" s="641"/>
      <c r="C8" s="641"/>
    </row>
    <row r="9" spans="2:12" s="5" customFormat="1" ht="24.75" customHeight="1" x14ac:dyDescent="0.2">
      <c r="B9" s="6"/>
      <c r="C9" s="6"/>
      <c r="D9" s="4"/>
      <c r="E9" s="4"/>
      <c r="F9" s="4"/>
      <c r="G9" s="4"/>
      <c r="H9" s="4"/>
      <c r="I9" s="4"/>
      <c r="J9" s="4"/>
    </row>
    <row r="10" spans="2:12" s="8" customFormat="1" ht="15" x14ac:dyDescent="0.25">
      <c r="B10" s="631" t="s">
        <v>3</v>
      </c>
      <c r="C10" s="631"/>
      <c r="D10" s="7"/>
      <c r="E10" s="7"/>
      <c r="F10" s="7"/>
      <c r="G10" s="7"/>
      <c r="H10" s="7"/>
      <c r="I10" s="7"/>
      <c r="J10" s="7"/>
    </row>
    <row r="11" spans="2:12" s="5" customFormat="1" ht="11.45" customHeight="1" x14ac:dyDescent="0.2">
      <c r="B11" s="641" t="s">
        <v>4</v>
      </c>
      <c r="C11" s="641"/>
      <c r="D11" s="4"/>
      <c r="E11" s="4"/>
      <c r="F11" s="4"/>
      <c r="G11" s="4"/>
      <c r="H11" s="4"/>
      <c r="I11" s="4"/>
      <c r="J11" s="4"/>
    </row>
    <row r="12" spans="2:12" s="4" customFormat="1" ht="35.25" customHeight="1" x14ac:dyDescent="0.2">
      <c r="B12" s="641"/>
      <c r="C12" s="641"/>
    </row>
    <row r="13" spans="2:12" s="5" customFormat="1" ht="24.75" customHeight="1" x14ac:dyDescent="0.2">
      <c r="B13" s="6"/>
      <c r="C13" s="6"/>
      <c r="D13" s="4"/>
      <c r="E13" s="4"/>
      <c r="F13" s="4"/>
      <c r="G13" s="4"/>
      <c r="H13" s="4"/>
      <c r="I13" s="4"/>
      <c r="J13" s="4"/>
    </row>
    <row r="14" spans="2:12" s="8" customFormat="1" ht="15" x14ac:dyDescent="0.25">
      <c r="B14" s="631" t="s">
        <v>5</v>
      </c>
      <c r="C14" s="631"/>
      <c r="D14" s="7"/>
      <c r="E14" s="7"/>
      <c r="F14" s="7"/>
      <c r="G14" s="7"/>
      <c r="H14" s="7"/>
      <c r="I14" s="7"/>
      <c r="J14" s="7"/>
    </row>
    <row r="15" spans="2:12" s="5" customFormat="1" ht="24.75" customHeight="1" x14ac:dyDescent="0.2">
      <c r="B15" s="644" t="s">
        <v>6</v>
      </c>
      <c r="C15" s="645"/>
      <c r="D15" s="4"/>
      <c r="E15" s="4"/>
      <c r="F15" s="4"/>
      <c r="G15" s="4"/>
      <c r="H15" s="4"/>
      <c r="I15" s="4"/>
      <c r="J15" s="4"/>
    </row>
    <row r="16" spans="2:12" s="5" customFormat="1" ht="12.75" customHeight="1" x14ac:dyDescent="0.2">
      <c r="D16" s="4"/>
      <c r="E16" s="4"/>
      <c r="F16" s="4"/>
      <c r="G16" s="4"/>
      <c r="H16" s="4"/>
      <c r="I16" s="4"/>
      <c r="J16" s="4"/>
    </row>
    <row r="17" spans="2:10" s="8" customFormat="1" ht="15" x14ac:dyDescent="0.25">
      <c r="B17" s="631" t="s">
        <v>7</v>
      </c>
      <c r="C17" s="631"/>
      <c r="D17" s="7"/>
      <c r="E17" s="7"/>
      <c r="F17" s="7"/>
      <c r="G17" s="7"/>
      <c r="H17" s="7"/>
      <c r="I17" s="7"/>
      <c r="J17" s="7"/>
    </row>
    <row r="18" spans="2:10" s="5" customFormat="1" ht="60.95" customHeight="1" x14ac:dyDescent="0.2">
      <c r="B18" s="641" t="s">
        <v>8</v>
      </c>
      <c r="C18" s="641"/>
      <c r="D18" s="4"/>
      <c r="E18" s="4"/>
      <c r="F18" s="4"/>
      <c r="G18" s="4"/>
      <c r="H18" s="4"/>
      <c r="I18" s="4"/>
      <c r="J18" s="4"/>
    </row>
    <row r="19" spans="2:10" s="5" customFormat="1" ht="12.75" customHeight="1" x14ac:dyDescent="0.2">
      <c r="D19" s="4"/>
      <c r="E19" s="4"/>
      <c r="F19" s="4"/>
      <c r="G19" s="4"/>
      <c r="H19" s="4"/>
      <c r="I19" s="4"/>
      <c r="J19" s="4"/>
    </row>
    <row r="20" spans="2:10" s="5" customFormat="1" ht="21.75" customHeight="1" x14ac:dyDescent="0.2">
      <c r="B20" s="6"/>
      <c r="C20" s="6"/>
      <c r="D20" s="4"/>
      <c r="E20" s="4"/>
      <c r="F20" s="4"/>
      <c r="G20" s="4"/>
      <c r="H20" s="4"/>
      <c r="I20" s="4"/>
      <c r="J20" s="4"/>
    </row>
    <row r="21" spans="2:10" s="5" customFormat="1" ht="15" x14ac:dyDescent="0.2">
      <c r="B21" s="631" t="s">
        <v>9</v>
      </c>
      <c r="C21" s="631"/>
      <c r="D21" s="4"/>
      <c r="E21" s="4"/>
      <c r="F21" s="4"/>
      <c r="G21" s="4"/>
      <c r="H21" s="4"/>
      <c r="I21" s="4"/>
      <c r="J21" s="4"/>
    </row>
    <row r="22" spans="2:10" s="5" customFormat="1" ht="68.25" customHeight="1" x14ac:dyDescent="0.2">
      <c r="B22" s="641" t="s">
        <v>63</v>
      </c>
      <c r="C22" s="641"/>
      <c r="D22" s="4"/>
      <c r="E22" s="4"/>
      <c r="F22" s="4"/>
      <c r="G22" s="4"/>
      <c r="H22" s="4"/>
      <c r="I22" s="4"/>
      <c r="J22" s="4"/>
    </row>
    <row r="23" spans="2:10" s="5" customFormat="1" ht="30.95" customHeight="1" x14ac:dyDescent="0.2">
      <c r="B23" s="9"/>
      <c r="C23" s="9"/>
      <c r="D23" s="4"/>
      <c r="E23" s="4"/>
      <c r="F23" s="4"/>
      <c r="G23" s="4"/>
      <c r="H23" s="4"/>
      <c r="I23" s="4"/>
      <c r="J23" s="4"/>
    </row>
    <row r="24" spans="2:10" s="5" customFormat="1" ht="18.75" customHeight="1" x14ac:dyDescent="0.2">
      <c r="B24" s="10" t="s">
        <v>10</v>
      </c>
      <c r="C24" s="10" t="s">
        <v>11</v>
      </c>
      <c r="D24" s="4"/>
      <c r="E24" s="4"/>
      <c r="F24" s="4"/>
      <c r="G24" s="4"/>
      <c r="H24" s="4"/>
      <c r="I24" s="4"/>
      <c r="J24" s="4"/>
    </row>
    <row r="25" spans="2:10" s="5" customFormat="1" ht="45" x14ac:dyDescent="0.2">
      <c r="B25" s="11" t="s">
        <v>12</v>
      </c>
      <c r="C25" s="12" t="s">
        <v>13</v>
      </c>
      <c r="D25" s="4"/>
      <c r="E25" s="4"/>
      <c r="F25" s="4"/>
      <c r="G25" s="4"/>
      <c r="H25" s="4"/>
      <c r="I25" s="4"/>
      <c r="J25" s="4"/>
    </row>
    <row r="26" spans="2:10" s="5" customFormat="1" ht="95.45" customHeight="1" x14ac:dyDescent="0.2">
      <c r="B26" s="13" t="s">
        <v>14</v>
      </c>
      <c r="C26" s="14" t="s">
        <v>64</v>
      </c>
      <c r="D26" s="4"/>
      <c r="E26" s="4"/>
      <c r="F26" s="4"/>
      <c r="G26" s="4"/>
      <c r="H26" s="4"/>
      <c r="I26" s="4"/>
      <c r="J26" s="4"/>
    </row>
    <row r="27" spans="2:10" s="5" customFormat="1" ht="42" customHeight="1" x14ac:dyDescent="0.2">
      <c r="B27" s="10" t="s">
        <v>15</v>
      </c>
      <c r="C27" s="14" t="s">
        <v>65</v>
      </c>
      <c r="D27" s="4"/>
      <c r="E27" s="4"/>
      <c r="F27" s="4"/>
      <c r="G27" s="4"/>
      <c r="H27" s="4"/>
      <c r="I27" s="4"/>
      <c r="J27" s="4"/>
    </row>
    <row r="28" spans="2:10" s="5" customFormat="1" ht="48" customHeight="1" x14ac:dyDescent="0.2">
      <c r="B28" s="10" t="s">
        <v>16</v>
      </c>
      <c r="C28" s="14" t="s">
        <v>17</v>
      </c>
      <c r="D28" s="4"/>
      <c r="E28" s="4"/>
      <c r="F28" s="4"/>
      <c r="G28" s="4"/>
      <c r="H28" s="4"/>
      <c r="I28" s="4"/>
      <c r="J28" s="4"/>
    </row>
    <row r="29" spans="2:10" s="5" customFormat="1" ht="27.75" customHeight="1" x14ac:dyDescent="0.2">
      <c r="B29" s="6"/>
      <c r="C29" s="6"/>
      <c r="D29" s="4"/>
      <c r="E29" s="4"/>
      <c r="F29" s="4"/>
      <c r="G29" s="4"/>
      <c r="H29" s="4"/>
      <c r="I29" s="4"/>
      <c r="J29" s="4"/>
    </row>
    <row r="30" spans="2:10" s="15" customFormat="1" ht="29.25" customHeight="1" x14ac:dyDescent="0.25">
      <c r="B30" s="646" t="s">
        <v>18</v>
      </c>
      <c r="C30" s="647"/>
    </row>
    <row r="31" spans="2:10" s="5" customFormat="1" ht="48.75" customHeight="1" x14ac:dyDescent="0.2">
      <c r="B31" s="641" t="s">
        <v>19</v>
      </c>
      <c r="C31" s="641"/>
      <c r="D31" s="4"/>
      <c r="E31" s="4"/>
      <c r="F31" s="4"/>
      <c r="G31" s="4"/>
      <c r="H31" s="4"/>
      <c r="I31" s="4"/>
      <c r="J31" s="4"/>
    </row>
    <row r="32" spans="2:10" ht="15" x14ac:dyDescent="0.25">
      <c r="B32" s="16" t="s">
        <v>10</v>
      </c>
      <c r="C32" s="16" t="s">
        <v>11</v>
      </c>
    </row>
    <row r="33" spans="2:10" ht="45" x14ac:dyDescent="0.2">
      <c r="B33" s="17" t="s">
        <v>20</v>
      </c>
      <c r="C33" s="18" t="s">
        <v>66</v>
      </c>
      <c r="D33" s="2"/>
      <c r="E33" s="2"/>
      <c r="F33" s="2"/>
      <c r="G33" s="2"/>
      <c r="H33" s="2"/>
      <c r="I33" s="2"/>
      <c r="J33" s="2"/>
    </row>
    <row r="34" spans="2:10" ht="30" x14ac:dyDescent="0.2">
      <c r="B34" s="13" t="s">
        <v>21</v>
      </c>
      <c r="C34" s="18" t="s">
        <v>22</v>
      </c>
      <c r="D34" s="2"/>
      <c r="E34" s="2"/>
      <c r="F34" s="2"/>
      <c r="G34" s="2"/>
      <c r="H34" s="2"/>
      <c r="I34" s="2"/>
      <c r="J34" s="2"/>
    </row>
    <row r="35" spans="2:10" ht="75.95" customHeight="1" x14ac:dyDescent="0.2">
      <c r="B35" s="13" t="s">
        <v>23</v>
      </c>
      <c r="C35" s="14" t="s">
        <v>67</v>
      </c>
    </row>
    <row r="36" spans="2:10" ht="72" customHeight="1" x14ac:dyDescent="0.2">
      <c r="B36" s="13" t="s">
        <v>24</v>
      </c>
      <c r="C36" s="14" t="s">
        <v>68</v>
      </c>
    </row>
    <row r="37" spans="2:10" ht="73.5" customHeight="1" x14ac:dyDescent="0.2">
      <c r="B37" s="13" t="s">
        <v>25</v>
      </c>
      <c r="C37" s="14" t="s">
        <v>69</v>
      </c>
    </row>
    <row r="38" spans="2:10" ht="42" customHeight="1" x14ac:dyDescent="0.2">
      <c r="B38" s="10" t="s">
        <v>26</v>
      </c>
      <c r="C38" s="18" t="s">
        <v>27</v>
      </c>
    </row>
    <row r="39" spans="2:10" ht="25.5" customHeight="1" x14ac:dyDescent="0.2">
      <c r="B39" s="648"/>
      <c r="C39" s="648"/>
    </row>
    <row r="40" spans="2:10" ht="30" customHeight="1" x14ac:dyDescent="0.2">
      <c r="B40" s="631" t="s">
        <v>70</v>
      </c>
      <c r="C40" s="631"/>
    </row>
    <row r="41" spans="2:10" ht="35.25" customHeight="1" x14ac:dyDescent="0.2">
      <c r="B41" s="642" t="s">
        <v>71</v>
      </c>
      <c r="C41" s="643"/>
    </row>
    <row r="42" spans="2:10" ht="13.5" customHeight="1" x14ac:dyDescent="0.2">
      <c r="B42" s="10" t="s">
        <v>10</v>
      </c>
      <c r="C42" s="10" t="s">
        <v>11</v>
      </c>
    </row>
    <row r="43" spans="2:10" ht="45" customHeight="1" x14ac:dyDescent="0.2">
      <c r="B43" s="19" t="s">
        <v>28</v>
      </c>
      <c r="C43" s="20" t="s">
        <v>72</v>
      </c>
    </row>
    <row r="44" spans="2:10" ht="32.25" customHeight="1" x14ac:dyDescent="0.2">
      <c r="B44" s="19" t="s">
        <v>29</v>
      </c>
      <c r="C44" s="20" t="s">
        <v>73</v>
      </c>
    </row>
    <row r="45" spans="2:10" ht="20.25" customHeight="1" x14ac:dyDescent="0.2">
      <c r="B45" s="21" t="s">
        <v>30</v>
      </c>
      <c r="C45" s="22" t="s">
        <v>31</v>
      </c>
    </row>
    <row r="46" spans="2:10" ht="58.5" customHeight="1" x14ac:dyDescent="0.2">
      <c r="B46" s="23" t="s">
        <v>32</v>
      </c>
      <c r="C46" s="22" t="s">
        <v>74</v>
      </c>
    </row>
    <row r="47" spans="2:10" ht="36.75" customHeight="1" x14ac:dyDescent="0.2">
      <c r="B47" s="23" t="s">
        <v>33</v>
      </c>
      <c r="C47" s="22" t="s">
        <v>34</v>
      </c>
    </row>
    <row r="48" spans="2:10" ht="96" customHeight="1" x14ac:dyDescent="0.2">
      <c r="B48" s="21" t="s">
        <v>35</v>
      </c>
      <c r="C48" s="24" t="s">
        <v>36</v>
      </c>
    </row>
  </sheetData>
  <sheetProtection algorithmName="SHA-512" hashValue="6SiCKi1P2vx/hwSX9N4yrz0AMgx2GjBgxkBt27KZmZ8wgPra/tJzppwy6+jtHlb6oVtkbWQ/k3Z7j/oX4r7Dtg==" saltValue="z5cNKrkk6hSZewkFeq1xQA==" spinCount="100000" sheet="1" objects="1" scenarios="1"/>
  <mergeCells count="18">
    <mergeCell ref="B41:C41"/>
    <mergeCell ref="B11:C12"/>
    <mergeCell ref="B14:C14"/>
    <mergeCell ref="B15:C15"/>
    <mergeCell ref="B17:C17"/>
    <mergeCell ref="B18:C18"/>
    <mergeCell ref="B21:C21"/>
    <mergeCell ref="B22:C22"/>
    <mergeCell ref="B30:C30"/>
    <mergeCell ref="B31:C31"/>
    <mergeCell ref="B39:C39"/>
    <mergeCell ref="B40:C40"/>
    <mergeCell ref="B10:C10"/>
    <mergeCell ref="B1:C1"/>
    <mergeCell ref="B2:C2"/>
    <mergeCell ref="B3:C4"/>
    <mergeCell ref="B6:C6"/>
    <mergeCell ref="B7:C8"/>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04"/>
  <sheetViews>
    <sheetView showGridLines="0" zoomScale="60" zoomScaleNormal="60" workbookViewId="0">
      <selection activeCell="B10" sqref="B10"/>
    </sheetView>
  </sheetViews>
  <sheetFormatPr baseColWidth="10" defaultColWidth="10.7109375" defaultRowHeight="14.25" x14ac:dyDescent="0.2"/>
  <cols>
    <col min="1" max="1" width="13.42578125" style="102" customWidth="1"/>
    <col min="2" max="2" width="67.42578125" style="102" customWidth="1"/>
    <col min="3" max="3" width="29.85546875" style="102" customWidth="1"/>
    <col min="4" max="4" width="23.85546875" style="102" customWidth="1"/>
    <col min="5" max="5" width="22.42578125" style="102" customWidth="1"/>
    <col min="6" max="6" width="23" style="102" bestFit="1" customWidth="1"/>
    <col min="7" max="8" width="24.42578125" style="102" bestFit="1" customWidth="1"/>
    <col min="9" max="9" width="23" style="102" bestFit="1" customWidth="1"/>
    <col min="10" max="10" width="24.42578125" style="102" bestFit="1" customWidth="1"/>
    <col min="11" max="11" width="22.42578125" style="102" customWidth="1"/>
    <col min="12" max="12" width="24.42578125" style="102" bestFit="1" customWidth="1"/>
    <col min="13" max="13" width="23" style="102" bestFit="1" customWidth="1"/>
    <col min="14" max="14" width="24.42578125" style="102" bestFit="1" customWidth="1"/>
    <col min="15" max="24" width="23" style="102" bestFit="1" customWidth="1"/>
    <col min="25" max="25" width="26.85546875" style="102" bestFit="1" customWidth="1"/>
    <col min="26" max="26" width="19.140625" style="102" bestFit="1" customWidth="1"/>
    <col min="27" max="27" width="17" style="102" bestFit="1" customWidth="1"/>
    <col min="28" max="28" width="17.85546875" style="102" customWidth="1"/>
    <col min="29" max="16384" width="10.7109375" style="102"/>
  </cols>
  <sheetData>
    <row r="2" spans="1:26" ht="15" x14ac:dyDescent="0.25">
      <c r="B2" s="58" t="s">
        <v>98</v>
      </c>
    </row>
    <row r="3" spans="1:26" s="103" customFormat="1" ht="15" x14ac:dyDescent="0.25">
      <c r="A3" s="50"/>
    </row>
    <row r="4" spans="1:26" ht="21.75" customHeight="1" x14ac:dyDescent="0.25">
      <c r="A4" s="59"/>
      <c r="B4" s="171" t="str">
        <f>'PPP_V3_y Costos'!C11</f>
        <v xml:space="preserve">4. Mejora de la gestión del agua y del suelo en el cultivo de maíz. </v>
      </c>
      <c r="C4" s="61"/>
      <c r="D4" s="103"/>
    </row>
    <row r="5" spans="1:26" ht="26.25" customHeight="1" x14ac:dyDescent="0.2">
      <c r="D5" s="103"/>
    </row>
    <row r="6" spans="1:26" ht="15" x14ac:dyDescent="0.25">
      <c r="D6" s="103"/>
      <c r="E6" s="63">
        <v>1</v>
      </c>
      <c r="F6" s="63">
        <v>2</v>
      </c>
      <c r="G6" s="63">
        <v>3</v>
      </c>
      <c r="H6" s="63">
        <v>4</v>
      </c>
      <c r="I6" s="63">
        <v>5</v>
      </c>
      <c r="J6" s="63">
        <v>6</v>
      </c>
      <c r="K6" s="63">
        <v>7</v>
      </c>
      <c r="L6" s="63">
        <v>8</v>
      </c>
      <c r="M6" s="63">
        <v>9</v>
      </c>
      <c r="N6" s="63">
        <v>10</v>
      </c>
      <c r="O6" s="63">
        <v>11</v>
      </c>
      <c r="P6" s="63">
        <v>12</v>
      </c>
      <c r="Q6" s="63">
        <v>13</v>
      </c>
      <c r="R6" s="63">
        <v>14</v>
      </c>
      <c r="S6" s="63">
        <v>15</v>
      </c>
      <c r="T6" s="63">
        <v>16</v>
      </c>
      <c r="U6" s="63">
        <v>17</v>
      </c>
      <c r="V6" s="63">
        <v>18</v>
      </c>
      <c r="W6" s="63">
        <v>19</v>
      </c>
      <c r="X6" s="63">
        <v>20</v>
      </c>
      <c r="Y6" s="63" t="s">
        <v>33</v>
      </c>
    </row>
    <row r="7" spans="1:26" s="175" customFormat="1" ht="26.25" customHeight="1" x14ac:dyDescent="0.25">
      <c r="A7" s="106"/>
      <c r="B7" s="172" t="s">
        <v>29</v>
      </c>
      <c r="C7" s="65" t="s">
        <v>77</v>
      </c>
      <c r="D7" s="65" t="s">
        <v>380</v>
      </c>
      <c r="E7" s="173">
        <f t="shared" ref="E7" si="0">SUM(E8:E9)</f>
        <v>706550282.5</v>
      </c>
      <c r="F7" s="173">
        <f>SUM(F8:F9)</f>
        <v>8510793005.000001</v>
      </c>
      <c r="G7" s="173">
        <f t="shared" ref="G7:X7" si="1">SUM(G8:G9)</f>
        <v>8510793005.000001</v>
      </c>
      <c r="H7" s="173">
        <f t="shared" si="1"/>
        <v>8098854387.000001</v>
      </c>
      <c r="I7" s="173">
        <f t="shared" si="1"/>
        <v>7686915769.000001</v>
      </c>
      <c r="J7" s="173">
        <f t="shared" si="1"/>
        <v>5890561184.000001</v>
      </c>
      <c r="K7" s="173">
        <f t="shared" si="1"/>
        <v>5684591875.000001</v>
      </c>
      <c r="L7" s="173">
        <f t="shared" si="1"/>
        <v>5890561184.000001</v>
      </c>
      <c r="M7" s="173">
        <f t="shared" si="1"/>
        <v>5684591875.000001</v>
      </c>
      <c r="N7" s="173">
        <f t="shared" si="1"/>
        <v>5890561184.000001</v>
      </c>
      <c r="O7" s="173">
        <f t="shared" si="1"/>
        <v>5684591875.000001</v>
      </c>
      <c r="P7" s="173">
        <f t="shared" si="1"/>
        <v>4203061184.000001</v>
      </c>
      <c r="Q7" s="173">
        <f t="shared" si="1"/>
        <v>3997091875.000001</v>
      </c>
      <c r="R7" s="173">
        <f t="shared" si="1"/>
        <v>3997091875.000001</v>
      </c>
      <c r="S7" s="173">
        <f t="shared" si="1"/>
        <v>3997091875.000001</v>
      </c>
      <c r="T7" s="173">
        <f t="shared" si="1"/>
        <v>3997091875.000001</v>
      </c>
      <c r="U7" s="173">
        <f t="shared" si="1"/>
        <v>3997091875.000001</v>
      </c>
      <c r="V7" s="173">
        <f t="shared" si="1"/>
        <v>3997091875.000001</v>
      </c>
      <c r="W7" s="173">
        <f t="shared" si="1"/>
        <v>3997091875.000001</v>
      </c>
      <c r="X7" s="173">
        <f t="shared" si="1"/>
        <v>3997091875.000001</v>
      </c>
      <c r="Y7" s="173">
        <f>SUM(E7:X7)</f>
        <v>104419161809.5</v>
      </c>
      <c r="Z7" s="174"/>
    </row>
    <row r="8" spans="1:26" s="71" customFormat="1" ht="45.75" customHeight="1" x14ac:dyDescent="0.2">
      <c r="A8" s="68"/>
      <c r="B8" s="69" t="str">
        <f>'PPP_V3_y Costos'!D11</f>
        <v>4.1. Contribución a la gestión del ordenamiento ambiental, fuera de la frontera agrícola.</v>
      </c>
      <c r="C8" s="144" t="s">
        <v>235</v>
      </c>
      <c r="D8" s="342" t="s">
        <v>381</v>
      </c>
      <c r="E8" s="70">
        <f>+H27*3</f>
        <v>205969309</v>
      </c>
      <c r="F8" s="70">
        <f>+H26</f>
        <v>823877236</v>
      </c>
      <c r="G8" s="70">
        <f>+H26</f>
        <v>823877236</v>
      </c>
      <c r="H8" s="70">
        <f>+H27*6</f>
        <v>411938618</v>
      </c>
      <c r="I8" s="70">
        <v>0</v>
      </c>
      <c r="J8" s="70">
        <f>+H27*3</f>
        <v>205969309</v>
      </c>
      <c r="K8" s="70">
        <v>0</v>
      </c>
      <c r="L8" s="70">
        <f>+H27*3</f>
        <v>205969309</v>
      </c>
      <c r="M8" s="70">
        <v>0</v>
      </c>
      <c r="N8" s="70">
        <f>+H27*3</f>
        <v>205969309</v>
      </c>
      <c r="O8" s="70">
        <v>0</v>
      </c>
      <c r="P8" s="70">
        <f>+H27*3</f>
        <v>205969309</v>
      </c>
      <c r="Q8" s="70"/>
      <c r="R8" s="70"/>
      <c r="S8" s="70"/>
      <c r="T8" s="70"/>
      <c r="U8" s="70"/>
      <c r="V8" s="70"/>
      <c r="W8" s="70"/>
      <c r="X8" s="70"/>
      <c r="Y8" s="70">
        <f>SUM(E8:X8)</f>
        <v>3089539635</v>
      </c>
      <c r="Z8" s="67"/>
    </row>
    <row r="9" spans="1:26" s="71" customFormat="1" ht="42.95" customHeight="1" x14ac:dyDescent="0.2">
      <c r="A9" s="68"/>
      <c r="B9" s="69" t="str">
        <f>'PPP_V3_y Costos'!D12</f>
        <v>4.2. Promoción del manejo eficiente del suelo y del agua, en la producción de maíz.</v>
      </c>
      <c r="C9" s="144" t="s">
        <v>235</v>
      </c>
      <c r="D9" s="342" t="s">
        <v>177</v>
      </c>
      <c r="E9" s="146">
        <f>I56*3</f>
        <v>500580973.5</v>
      </c>
      <c r="F9" s="70">
        <f>H57</f>
        <v>7686915769.000001</v>
      </c>
      <c r="G9" s="70">
        <f>F9</f>
        <v>7686915769.000001</v>
      </c>
      <c r="H9" s="70">
        <f>G9</f>
        <v>7686915769.000001</v>
      </c>
      <c r="I9" s="70">
        <f>H9</f>
        <v>7686915769.000001</v>
      </c>
      <c r="J9" s="70">
        <f>H58</f>
        <v>5684591875.000001</v>
      </c>
      <c r="K9" s="70">
        <f>J9</f>
        <v>5684591875.000001</v>
      </c>
      <c r="L9" s="70">
        <f>K9</f>
        <v>5684591875.000001</v>
      </c>
      <c r="M9" s="70">
        <f>L9</f>
        <v>5684591875.000001</v>
      </c>
      <c r="N9" s="70">
        <f>M9</f>
        <v>5684591875.000001</v>
      </c>
      <c r="O9" s="70">
        <f>N9</f>
        <v>5684591875.000001</v>
      </c>
      <c r="P9" s="70">
        <f>H59</f>
        <v>3997091875.000001</v>
      </c>
      <c r="Q9" s="70">
        <f t="shared" ref="Q9:X9" si="2">P9</f>
        <v>3997091875.000001</v>
      </c>
      <c r="R9" s="70">
        <f t="shared" si="2"/>
        <v>3997091875.000001</v>
      </c>
      <c r="S9" s="70">
        <f t="shared" si="2"/>
        <v>3997091875.000001</v>
      </c>
      <c r="T9" s="70">
        <f t="shared" si="2"/>
        <v>3997091875.000001</v>
      </c>
      <c r="U9" s="70">
        <f t="shared" si="2"/>
        <v>3997091875.000001</v>
      </c>
      <c r="V9" s="70">
        <f t="shared" si="2"/>
        <v>3997091875.000001</v>
      </c>
      <c r="W9" s="70">
        <f t="shared" si="2"/>
        <v>3997091875.000001</v>
      </c>
      <c r="X9" s="70">
        <f t="shared" si="2"/>
        <v>3997091875.000001</v>
      </c>
      <c r="Y9" s="70">
        <f>SUM(E9:X9)</f>
        <v>101329622174.50002</v>
      </c>
      <c r="Z9" s="67"/>
    </row>
    <row r="10" spans="1:26" s="175" customFormat="1" ht="24.75" customHeight="1" x14ac:dyDescent="0.25">
      <c r="A10" s="106"/>
      <c r="B10" s="172" t="s">
        <v>33</v>
      </c>
      <c r="C10" s="172"/>
      <c r="D10" s="172"/>
      <c r="E10" s="176"/>
      <c r="F10" s="176"/>
      <c r="G10" s="176"/>
      <c r="H10" s="176"/>
      <c r="I10" s="176"/>
      <c r="J10" s="176"/>
      <c r="K10" s="176"/>
      <c r="L10" s="176"/>
      <c r="M10" s="176"/>
      <c r="N10" s="176"/>
      <c r="O10" s="176"/>
      <c r="P10" s="176"/>
      <c r="Q10" s="176"/>
      <c r="R10" s="176"/>
      <c r="S10" s="176"/>
      <c r="T10" s="176"/>
      <c r="U10" s="176"/>
      <c r="V10" s="176"/>
      <c r="W10" s="176"/>
      <c r="X10" s="176"/>
      <c r="Y10" s="176"/>
      <c r="Z10" s="174"/>
    </row>
    <row r="11" spans="1:26" s="76" customFormat="1" ht="24.75" customHeight="1" x14ac:dyDescent="0.25">
      <c r="A11" s="103"/>
      <c r="B11" s="73"/>
      <c r="C11" s="73"/>
      <c r="D11" s="73"/>
      <c r="E11" s="73"/>
      <c r="F11" s="74"/>
      <c r="G11" s="75"/>
      <c r="H11" s="74"/>
      <c r="I11" s="74"/>
      <c r="J11" s="74"/>
      <c r="K11" s="74"/>
      <c r="L11" s="74"/>
      <c r="M11" s="74"/>
      <c r="N11" s="74"/>
      <c r="O11" s="74"/>
      <c r="P11" s="74"/>
      <c r="Q11" s="74"/>
      <c r="R11" s="74"/>
      <c r="S11" s="74"/>
      <c r="T11" s="74"/>
      <c r="U11" s="74"/>
      <c r="V11" s="74"/>
      <c r="W11" s="74"/>
      <c r="X11" s="74"/>
      <c r="Y11" s="74"/>
      <c r="Z11" s="74"/>
    </row>
    <row r="13" spans="1:26" s="103" customFormat="1" ht="14.45" customHeight="1" x14ac:dyDescent="0.25">
      <c r="B13" s="720" t="str">
        <f>B8</f>
        <v>4.1. Contribución a la gestión del ordenamiento ambiental, fuera de la frontera agrícola.</v>
      </c>
      <c r="C13" s="721"/>
      <c r="D13" s="721"/>
      <c r="E13" s="721"/>
      <c r="F13" s="721"/>
      <c r="G13" s="721"/>
      <c r="H13" s="721"/>
      <c r="I13" s="340"/>
      <c r="X13" s="78"/>
    </row>
    <row r="14" spans="1:26" s="103" customFormat="1" ht="14.45" customHeight="1" x14ac:dyDescent="0.25">
      <c r="B14" s="721"/>
      <c r="C14" s="721"/>
      <c r="D14" s="721"/>
      <c r="E14" s="721"/>
      <c r="F14" s="721"/>
      <c r="G14" s="721"/>
      <c r="H14" s="721"/>
      <c r="I14" s="340"/>
      <c r="X14" s="78"/>
    </row>
    <row r="15" spans="1:26" s="106" customFormat="1" ht="22.5" customHeight="1" x14ac:dyDescent="0.25">
      <c r="B15" s="177" t="s">
        <v>79</v>
      </c>
      <c r="C15" s="177" t="s">
        <v>59</v>
      </c>
      <c r="D15" s="177" t="s">
        <v>56</v>
      </c>
      <c r="E15" s="177" t="s">
        <v>55</v>
      </c>
      <c r="F15" s="178" t="s">
        <v>108</v>
      </c>
      <c r="G15" s="177" t="s">
        <v>81</v>
      </c>
      <c r="H15" s="177" t="s">
        <v>82</v>
      </c>
      <c r="X15" s="179"/>
    </row>
    <row r="16" spans="1:26" x14ac:dyDescent="0.2">
      <c r="B16" s="180" t="s">
        <v>83</v>
      </c>
      <c r="C16" s="104">
        <v>7</v>
      </c>
      <c r="D16" s="104" t="s">
        <v>84</v>
      </c>
      <c r="E16" s="45">
        <v>500000</v>
      </c>
      <c r="F16" s="104"/>
      <c r="G16" s="104"/>
      <c r="H16" s="82">
        <f t="shared" ref="H16:H21" si="3">+C16*E16</f>
        <v>3500000</v>
      </c>
      <c r="I16" s="53"/>
    </row>
    <row r="17" spans="1:10" x14ac:dyDescent="0.2">
      <c r="B17" s="180" t="s">
        <v>85</v>
      </c>
      <c r="C17" s="104">
        <v>21</v>
      </c>
      <c r="D17" s="104" t="s">
        <v>84</v>
      </c>
      <c r="E17" s="45">
        <v>100000</v>
      </c>
      <c r="F17" s="104"/>
      <c r="G17" s="104"/>
      <c r="H17" s="82">
        <f t="shared" si="3"/>
        <v>2100000</v>
      </c>
      <c r="I17" s="53"/>
    </row>
    <row r="18" spans="1:10" x14ac:dyDescent="0.2">
      <c r="B18" s="180" t="s">
        <v>290</v>
      </c>
      <c r="C18" s="104">
        <v>7</v>
      </c>
      <c r="D18" s="104" t="s">
        <v>84</v>
      </c>
      <c r="E18" s="45">
        <v>2300000</v>
      </c>
      <c r="F18" s="104"/>
      <c r="G18" s="104"/>
      <c r="H18" s="82">
        <f t="shared" si="3"/>
        <v>16100000</v>
      </c>
      <c r="I18" s="53"/>
    </row>
    <row r="19" spans="1:10" x14ac:dyDescent="0.2">
      <c r="B19" s="180" t="s">
        <v>282</v>
      </c>
      <c r="C19" s="104">
        <v>21</v>
      </c>
      <c r="D19" s="104" t="s">
        <v>84</v>
      </c>
      <c r="E19" s="109">
        <v>460000</v>
      </c>
      <c r="F19" s="104"/>
      <c r="G19" s="104"/>
      <c r="H19" s="82">
        <f t="shared" si="3"/>
        <v>9660000</v>
      </c>
      <c r="I19" s="53"/>
    </row>
    <row r="20" spans="1:10" x14ac:dyDescent="0.2">
      <c r="B20" s="181" t="s">
        <v>61</v>
      </c>
      <c r="C20" s="49">
        <v>7</v>
      </c>
      <c r="D20" s="49" t="s">
        <v>84</v>
      </c>
      <c r="E20" s="150">
        <v>14500000</v>
      </c>
      <c r="F20" s="104"/>
      <c r="G20" s="104"/>
      <c r="H20" s="82">
        <f t="shared" si="3"/>
        <v>101500000</v>
      </c>
      <c r="I20" s="53"/>
    </row>
    <row r="21" spans="1:10" x14ac:dyDescent="0.2">
      <c r="B21" s="181" t="s">
        <v>291</v>
      </c>
      <c r="C21" s="49">
        <v>7</v>
      </c>
      <c r="D21" s="49" t="s">
        <v>84</v>
      </c>
      <c r="E21" s="150">
        <v>2000000</v>
      </c>
      <c r="F21" s="104"/>
      <c r="G21" s="104"/>
      <c r="H21" s="82">
        <f t="shared" si="3"/>
        <v>14000000</v>
      </c>
      <c r="I21" s="53"/>
    </row>
    <row r="22" spans="1:10" x14ac:dyDescent="0.2">
      <c r="B22" s="181" t="s">
        <v>249</v>
      </c>
      <c r="C22" s="49">
        <v>7</v>
      </c>
      <c r="D22" s="49" t="s">
        <v>196</v>
      </c>
      <c r="E22" s="150">
        <v>6604729</v>
      </c>
      <c r="F22" s="98">
        <v>1</v>
      </c>
      <c r="G22" s="104">
        <v>12</v>
      </c>
      <c r="H22" s="82">
        <f>+C22*E22*G22*F22</f>
        <v>554797236</v>
      </c>
      <c r="I22" s="53"/>
    </row>
    <row r="23" spans="1:10" x14ac:dyDescent="0.2">
      <c r="B23" s="181" t="s">
        <v>57</v>
      </c>
      <c r="C23" s="49">
        <v>7</v>
      </c>
      <c r="D23" s="49" t="s">
        <v>185</v>
      </c>
      <c r="E23" s="150">
        <v>1300000</v>
      </c>
      <c r="F23" s="98"/>
      <c r="G23" s="104">
        <v>12</v>
      </c>
      <c r="H23" s="82">
        <f>+C23*E23*G23</f>
        <v>109200000</v>
      </c>
      <c r="I23" s="53"/>
    </row>
    <row r="24" spans="1:10" x14ac:dyDescent="0.2">
      <c r="B24" s="181" t="s">
        <v>194</v>
      </c>
      <c r="C24" s="49">
        <v>7</v>
      </c>
      <c r="D24" s="49" t="s">
        <v>185</v>
      </c>
      <c r="E24" s="150">
        <v>155000</v>
      </c>
      <c r="F24" s="98"/>
      <c r="G24" s="104">
        <v>12</v>
      </c>
      <c r="H24" s="82">
        <f>+C24*E24*G24</f>
        <v>13020000</v>
      </c>
      <c r="I24" s="53"/>
    </row>
    <row r="25" spans="1:10" x14ac:dyDescent="0.2">
      <c r="B25" s="181" t="s">
        <v>193</v>
      </c>
      <c r="C25" s="49"/>
      <c r="D25" s="49"/>
      <c r="E25" s="150"/>
      <c r="F25" s="104"/>
      <c r="G25" s="104"/>
      <c r="H25" s="140" t="s">
        <v>78</v>
      </c>
      <c r="I25" s="53"/>
    </row>
    <row r="26" spans="1:10" s="106" customFormat="1" ht="15" x14ac:dyDescent="0.25">
      <c r="B26" s="182" t="s">
        <v>33</v>
      </c>
      <c r="C26" s="183"/>
      <c r="D26" s="183"/>
      <c r="E26" s="183"/>
      <c r="F26" s="184"/>
      <c r="G26" s="184"/>
      <c r="H26" s="185">
        <f>SUM(H16:H25)</f>
        <v>823877236</v>
      </c>
      <c r="J26" s="186"/>
    </row>
    <row r="27" spans="1:10" s="106" customFormat="1" ht="15" x14ac:dyDescent="0.2">
      <c r="B27" s="182" t="s">
        <v>292</v>
      </c>
      <c r="C27" s="384"/>
      <c r="D27" s="384"/>
      <c r="E27" s="384"/>
      <c r="F27" s="384"/>
      <c r="G27" s="384"/>
      <c r="H27" s="185">
        <f>+H26/12</f>
        <v>68656436.333333328</v>
      </c>
      <c r="I27" s="102"/>
      <c r="J27" s="186"/>
    </row>
    <row r="28" spans="1:10" s="103" customFormat="1" ht="155.25" customHeight="1" x14ac:dyDescent="0.2">
      <c r="B28" s="187" t="s">
        <v>293</v>
      </c>
      <c r="C28" s="339"/>
      <c r="D28" s="339"/>
      <c r="E28" s="339"/>
      <c r="F28" s="339"/>
      <c r="G28" s="339"/>
      <c r="H28" s="339"/>
    </row>
    <row r="29" spans="1:10" s="103" customFormat="1" ht="27" customHeight="1" x14ac:dyDescent="0.2">
      <c r="A29" s="92"/>
      <c r="B29" s="720" t="str">
        <f>B9</f>
        <v>4.2. Promoción del manejo eficiente del suelo y del agua, en la producción de maíz.</v>
      </c>
      <c r="C29" s="721"/>
      <c r="D29" s="721"/>
      <c r="E29" s="721"/>
      <c r="F29" s="721"/>
      <c r="G29" s="721"/>
      <c r="H29" s="721"/>
    </row>
    <row r="30" spans="1:10" s="106" customFormat="1" ht="18.75" customHeight="1" x14ac:dyDescent="0.25">
      <c r="B30" s="177" t="s">
        <v>79</v>
      </c>
      <c r="C30" s="177" t="s">
        <v>59</v>
      </c>
      <c r="D30" s="177" t="s">
        <v>56</v>
      </c>
      <c r="E30" s="177" t="s">
        <v>55</v>
      </c>
      <c r="F30" s="177" t="s">
        <v>80</v>
      </c>
      <c r="G30" s="177" t="s">
        <v>81</v>
      </c>
      <c r="H30" s="177" t="s">
        <v>82</v>
      </c>
    </row>
    <row r="31" spans="1:10" s="103" customFormat="1" x14ac:dyDescent="0.2">
      <c r="A31" s="93"/>
      <c r="B31" s="180" t="s">
        <v>83</v>
      </c>
      <c r="C31" s="104">
        <v>4</v>
      </c>
      <c r="D31" s="104" t="s">
        <v>84</v>
      </c>
      <c r="E31" s="188">
        <v>500000</v>
      </c>
      <c r="F31" s="104"/>
      <c r="G31" s="104"/>
      <c r="H31" s="82">
        <f t="shared" ref="H31:H45" si="4">+C31*E31</f>
        <v>2000000</v>
      </c>
      <c r="I31" s="44"/>
      <c r="J31" s="386"/>
    </row>
    <row r="32" spans="1:10" s="103" customFormat="1" x14ac:dyDescent="0.2">
      <c r="B32" s="180" t="s">
        <v>85</v>
      </c>
      <c r="C32" s="104">
        <v>19</v>
      </c>
      <c r="D32" s="104" t="s">
        <v>84</v>
      </c>
      <c r="E32" s="188">
        <v>100000</v>
      </c>
      <c r="F32" s="104"/>
      <c r="G32" s="104"/>
      <c r="H32" s="82">
        <f t="shared" si="4"/>
        <v>1900000</v>
      </c>
      <c r="I32" s="44"/>
      <c r="J32" s="386"/>
    </row>
    <row r="33" spans="1:10" s="103" customFormat="1" x14ac:dyDescent="0.2">
      <c r="A33" s="93"/>
      <c r="B33" s="180" t="s">
        <v>294</v>
      </c>
      <c r="C33" s="105">
        <v>4</v>
      </c>
      <c r="D33" s="104" t="s">
        <v>84</v>
      </c>
      <c r="E33" s="188">
        <v>2300000</v>
      </c>
      <c r="F33" s="104"/>
      <c r="G33" s="104"/>
      <c r="H33" s="82">
        <f t="shared" si="4"/>
        <v>9200000</v>
      </c>
      <c r="I33" s="84"/>
      <c r="J33" s="386"/>
    </row>
    <row r="34" spans="1:10" s="103" customFormat="1" x14ac:dyDescent="0.2">
      <c r="A34" s="93"/>
      <c r="B34" s="180" t="s">
        <v>290</v>
      </c>
      <c r="C34" s="105">
        <v>19</v>
      </c>
      <c r="D34" s="104" t="s">
        <v>84</v>
      </c>
      <c r="E34" s="188">
        <v>2300000</v>
      </c>
      <c r="F34" s="104"/>
      <c r="G34" s="104"/>
      <c r="H34" s="82">
        <f t="shared" si="4"/>
        <v>43700000</v>
      </c>
      <c r="I34" s="85"/>
      <c r="J34" s="386"/>
    </row>
    <row r="35" spans="1:10" s="103" customFormat="1" x14ac:dyDescent="0.2">
      <c r="B35" s="180" t="s">
        <v>282</v>
      </c>
      <c r="C35" s="105">
        <v>19</v>
      </c>
      <c r="D35" s="104" t="s">
        <v>84</v>
      </c>
      <c r="E35" s="188">
        <v>460000</v>
      </c>
      <c r="F35" s="104"/>
      <c r="G35" s="104"/>
      <c r="H35" s="82">
        <f t="shared" si="4"/>
        <v>8740000</v>
      </c>
      <c r="I35" s="84"/>
      <c r="J35" s="386"/>
    </row>
    <row r="36" spans="1:10" s="103" customFormat="1" x14ac:dyDescent="0.2">
      <c r="B36" s="180" t="s">
        <v>295</v>
      </c>
      <c r="C36" s="47">
        <v>10</v>
      </c>
      <c r="D36" s="104" t="s">
        <v>84</v>
      </c>
      <c r="E36" s="188">
        <v>5170000</v>
      </c>
      <c r="F36" s="104"/>
      <c r="G36" s="104"/>
      <c r="H36" s="82">
        <f t="shared" si="4"/>
        <v>51700000</v>
      </c>
      <c r="I36" s="84"/>
      <c r="J36" s="386"/>
    </row>
    <row r="37" spans="1:10" s="103" customFormat="1" x14ac:dyDescent="0.2">
      <c r="B37" s="180" t="s">
        <v>61</v>
      </c>
      <c r="C37" s="105">
        <v>4</v>
      </c>
      <c r="D37" s="104" t="s">
        <v>84</v>
      </c>
      <c r="E37" s="188">
        <v>14500000</v>
      </c>
      <c r="F37" s="104"/>
      <c r="G37" s="104"/>
      <c r="H37" s="82">
        <f t="shared" si="4"/>
        <v>58000000</v>
      </c>
      <c r="I37" s="84"/>
      <c r="J37" s="386"/>
    </row>
    <row r="38" spans="1:10" s="103" customFormat="1" x14ac:dyDescent="0.2">
      <c r="B38" s="180" t="s">
        <v>208</v>
      </c>
      <c r="C38" s="105">
        <v>4</v>
      </c>
      <c r="D38" s="104" t="s">
        <v>84</v>
      </c>
      <c r="E38" s="188">
        <v>2000000</v>
      </c>
      <c r="F38" s="104"/>
      <c r="G38" s="104"/>
      <c r="H38" s="82">
        <f t="shared" si="4"/>
        <v>8000000</v>
      </c>
      <c r="I38" s="84"/>
      <c r="J38" s="386"/>
    </row>
    <row r="39" spans="1:10" x14ac:dyDescent="0.2">
      <c r="B39" s="180" t="s">
        <v>296</v>
      </c>
      <c r="C39" s="105">
        <f>10*6</f>
        <v>60</v>
      </c>
      <c r="D39" s="104" t="s">
        <v>84</v>
      </c>
      <c r="E39" s="188">
        <v>3270000</v>
      </c>
      <c r="F39" s="104"/>
      <c r="G39" s="104"/>
      <c r="H39" s="82">
        <f t="shared" si="4"/>
        <v>196200000</v>
      </c>
      <c r="I39" s="44"/>
      <c r="J39" s="53"/>
    </row>
    <row r="40" spans="1:10" x14ac:dyDescent="0.2">
      <c r="B40" s="180" t="s">
        <v>87</v>
      </c>
      <c r="C40" s="104">
        <v>4</v>
      </c>
      <c r="D40" s="104" t="s">
        <v>297</v>
      </c>
      <c r="E40" s="188">
        <v>6000000</v>
      </c>
      <c r="F40" s="94"/>
      <c r="G40" s="104"/>
      <c r="H40" s="82">
        <f t="shared" si="4"/>
        <v>24000000</v>
      </c>
      <c r="I40" s="44"/>
      <c r="J40" s="53"/>
    </row>
    <row r="41" spans="1:10" x14ac:dyDescent="0.2">
      <c r="B41" s="180" t="s">
        <v>88</v>
      </c>
      <c r="C41" s="104">
        <v>10</v>
      </c>
      <c r="D41" s="104" t="s">
        <v>84</v>
      </c>
      <c r="E41" s="188">
        <v>1800000</v>
      </c>
      <c r="F41" s="97"/>
      <c r="G41" s="104"/>
      <c r="H41" s="82">
        <f t="shared" si="4"/>
        <v>18000000</v>
      </c>
      <c r="I41" s="44"/>
      <c r="J41" s="386"/>
    </row>
    <row r="42" spans="1:10" x14ac:dyDescent="0.2">
      <c r="B42" s="180" t="s">
        <v>178</v>
      </c>
      <c r="C42" s="104">
        <v>4</v>
      </c>
      <c r="D42" s="104" t="s">
        <v>298</v>
      </c>
      <c r="E42" s="188">
        <v>1500000</v>
      </c>
      <c r="F42" s="97"/>
      <c r="G42" s="104"/>
      <c r="H42" s="82">
        <f t="shared" si="4"/>
        <v>6000000</v>
      </c>
      <c r="I42" s="44"/>
      <c r="J42" s="386"/>
    </row>
    <row r="43" spans="1:10" x14ac:dyDescent="0.2">
      <c r="B43" s="180" t="s">
        <v>89</v>
      </c>
      <c r="C43" s="104">
        <v>10</v>
      </c>
      <c r="D43" s="104" t="s">
        <v>298</v>
      </c>
      <c r="E43" s="188">
        <v>450000</v>
      </c>
      <c r="F43" s="97"/>
      <c r="G43" s="104"/>
      <c r="H43" s="82">
        <f t="shared" si="4"/>
        <v>4500000</v>
      </c>
      <c r="I43" s="44"/>
      <c r="J43" s="386"/>
    </row>
    <row r="44" spans="1:10" x14ac:dyDescent="0.2">
      <c r="B44" s="399" t="s">
        <v>191</v>
      </c>
      <c r="C44" s="105">
        <v>4</v>
      </c>
      <c r="D44" s="105" t="s">
        <v>298</v>
      </c>
      <c r="E44" s="400">
        <v>3000000</v>
      </c>
      <c r="F44" s="391"/>
      <c r="G44" s="105"/>
      <c r="H44" s="82">
        <f t="shared" si="4"/>
        <v>12000000</v>
      </c>
      <c r="I44" s="44"/>
      <c r="J44" s="386"/>
    </row>
    <row r="45" spans="1:10" x14ac:dyDescent="0.2">
      <c r="B45" s="399" t="s">
        <v>192</v>
      </c>
      <c r="C45" s="105">
        <v>10</v>
      </c>
      <c r="D45" s="105" t="s">
        <v>298</v>
      </c>
      <c r="E45" s="400">
        <v>900000</v>
      </c>
      <c r="F45" s="209"/>
      <c r="G45" s="105"/>
      <c r="H45" s="82">
        <f t="shared" si="4"/>
        <v>9000000</v>
      </c>
      <c r="I45" s="44"/>
      <c r="J45" s="386"/>
    </row>
    <row r="46" spans="1:10" x14ac:dyDescent="0.2">
      <c r="B46" s="399" t="s">
        <v>230</v>
      </c>
      <c r="C46" s="105">
        <v>2</v>
      </c>
      <c r="D46" s="105" t="s">
        <v>196</v>
      </c>
      <c r="E46" s="400">
        <v>7862772</v>
      </c>
      <c r="F46" s="209">
        <v>1</v>
      </c>
      <c r="G46" s="105">
        <v>12</v>
      </c>
      <c r="H46" s="82">
        <f>+C46*E46*F46*G46</f>
        <v>188706528</v>
      </c>
      <c r="I46" s="44"/>
      <c r="J46" s="386"/>
    </row>
    <row r="47" spans="1:10" x14ac:dyDescent="0.2">
      <c r="B47" s="401" t="s">
        <v>91</v>
      </c>
      <c r="C47" s="47">
        <v>2</v>
      </c>
      <c r="D47" s="47" t="s">
        <v>84</v>
      </c>
      <c r="E47" s="402">
        <v>2682805</v>
      </c>
      <c r="F47" s="47"/>
      <c r="G47" s="47">
        <v>3</v>
      </c>
      <c r="H47" s="189">
        <f>+C47*E47*G47</f>
        <v>16096830</v>
      </c>
      <c r="I47" s="44"/>
      <c r="J47" s="386"/>
    </row>
    <row r="48" spans="1:10" x14ac:dyDescent="0.2">
      <c r="A48" s="42"/>
      <c r="B48" s="401" t="s">
        <v>249</v>
      </c>
      <c r="C48" s="47">
        <v>10</v>
      </c>
      <c r="D48" s="47" t="s">
        <v>196</v>
      </c>
      <c r="E48" s="402">
        <v>6604729</v>
      </c>
      <c r="F48" s="391">
        <v>1</v>
      </c>
      <c r="G48" s="47">
        <v>12</v>
      </c>
      <c r="H48" s="189">
        <f>+C48*E48*F48*G48</f>
        <v>792567480</v>
      </c>
      <c r="I48" s="44"/>
      <c r="J48" s="387"/>
    </row>
    <row r="49" spans="1:10" x14ac:dyDescent="0.2">
      <c r="A49" s="42"/>
      <c r="B49" s="401" t="s">
        <v>57</v>
      </c>
      <c r="C49" s="47">
        <v>10</v>
      </c>
      <c r="D49" s="47" t="s">
        <v>185</v>
      </c>
      <c r="E49" s="402">
        <v>1300000</v>
      </c>
      <c r="F49" s="391"/>
      <c r="G49" s="47">
        <v>12</v>
      </c>
      <c r="H49" s="151">
        <f>+C49*E49*G49</f>
        <v>156000000</v>
      </c>
      <c r="I49" s="44"/>
      <c r="J49" s="387"/>
    </row>
    <row r="50" spans="1:10" x14ac:dyDescent="0.2">
      <c r="A50" s="42"/>
      <c r="B50" s="401" t="s">
        <v>194</v>
      </c>
      <c r="C50" s="47">
        <v>10</v>
      </c>
      <c r="D50" s="47" t="s">
        <v>185</v>
      </c>
      <c r="E50" s="189">
        <v>155000</v>
      </c>
      <c r="F50" s="209"/>
      <c r="G50" s="105">
        <v>12</v>
      </c>
      <c r="H50" s="82">
        <f>+C50*E50*G50</f>
        <v>18600000</v>
      </c>
      <c r="I50" s="44"/>
      <c r="J50" s="387"/>
    </row>
    <row r="51" spans="1:10" x14ac:dyDescent="0.2">
      <c r="B51" s="401" t="s">
        <v>299</v>
      </c>
      <c r="C51" s="47">
        <v>4</v>
      </c>
      <c r="D51" s="47" t="s">
        <v>196</v>
      </c>
      <c r="E51" s="402">
        <v>7862772</v>
      </c>
      <c r="F51" s="391">
        <v>1</v>
      </c>
      <c r="G51" s="47">
        <v>12</v>
      </c>
      <c r="H51" s="189">
        <f>+C51*E51*F51*G51</f>
        <v>377413056</v>
      </c>
      <c r="I51" s="44"/>
      <c r="J51" s="387"/>
    </row>
    <row r="52" spans="1:10" x14ac:dyDescent="0.2">
      <c r="B52" s="401" t="s">
        <v>412</v>
      </c>
      <c r="C52" s="403">
        <v>15000</v>
      </c>
      <c r="D52" s="47" t="s">
        <v>411</v>
      </c>
      <c r="E52" s="402">
        <v>1500000</v>
      </c>
      <c r="F52" s="404">
        <v>7.4999999999999997E-2</v>
      </c>
      <c r="G52" s="47"/>
      <c r="H52" s="189">
        <f>C52*E52*F52</f>
        <v>1687500000</v>
      </c>
      <c r="I52" s="44"/>
      <c r="J52" s="387"/>
    </row>
    <row r="53" spans="1:10" x14ac:dyDescent="0.2">
      <c r="B53" s="401" t="s">
        <v>379</v>
      </c>
      <c r="C53" s="405">
        <f>50000*5%</f>
        <v>2500</v>
      </c>
      <c r="D53" s="405" t="s">
        <v>300</v>
      </c>
      <c r="E53" s="402">
        <v>7994183.7500000009</v>
      </c>
      <c r="F53" s="406">
        <v>0.2</v>
      </c>
      <c r="G53" s="405"/>
      <c r="H53" s="341">
        <f>+C53*E53*F53</f>
        <v>3997091875.000001</v>
      </c>
      <c r="I53" s="44"/>
      <c r="J53" s="387"/>
    </row>
    <row r="54" spans="1:10" x14ac:dyDescent="0.2">
      <c r="B54" s="399" t="s">
        <v>301</v>
      </c>
      <c r="C54" s="105"/>
      <c r="D54" s="105"/>
      <c r="E54" s="82"/>
      <c r="F54" s="105"/>
      <c r="G54" s="105"/>
      <c r="H54" s="190" t="s">
        <v>78</v>
      </c>
      <c r="I54" s="44"/>
      <c r="J54" s="53"/>
    </row>
    <row r="55" spans="1:10" ht="15" x14ac:dyDescent="0.2">
      <c r="B55" s="105" t="s">
        <v>187</v>
      </c>
      <c r="C55" s="105"/>
      <c r="D55" s="105"/>
      <c r="E55" s="82"/>
      <c r="F55" s="105"/>
      <c r="G55" s="105"/>
      <c r="H55" s="43" t="s">
        <v>78</v>
      </c>
      <c r="I55" s="191" t="s">
        <v>174</v>
      </c>
      <c r="J55" s="53"/>
    </row>
    <row r="56" spans="1:10" s="106" customFormat="1" ht="20.25" customHeight="1" x14ac:dyDescent="0.25">
      <c r="B56" s="182" t="s">
        <v>264</v>
      </c>
      <c r="C56" s="183"/>
      <c r="D56" s="183"/>
      <c r="E56" s="184"/>
      <c r="F56" s="184"/>
      <c r="G56" s="183"/>
      <c r="H56" s="191">
        <f>SUM(H31:H51)</f>
        <v>2002323894</v>
      </c>
      <c r="I56" s="191">
        <f>H56/12</f>
        <v>166860324.5</v>
      </c>
    </row>
    <row r="57" spans="1:10" s="106" customFormat="1" ht="20.25" customHeight="1" x14ac:dyDescent="0.25">
      <c r="B57" s="182" t="s">
        <v>413</v>
      </c>
      <c r="C57" s="183"/>
      <c r="D57" s="183"/>
      <c r="E57" s="184"/>
      <c r="F57" s="184"/>
      <c r="G57" s="183"/>
      <c r="H57" s="191">
        <f>H56+H52+H53</f>
        <v>7686915769.000001</v>
      </c>
      <c r="I57" s="192"/>
    </row>
    <row r="58" spans="1:10" s="106" customFormat="1" ht="20.25" customHeight="1" x14ac:dyDescent="0.25">
      <c r="B58" s="182" t="s">
        <v>414</v>
      </c>
      <c r="C58" s="183"/>
      <c r="D58" s="183"/>
      <c r="E58" s="184"/>
      <c r="F58" s="184"/>
      <c r="G58" s="183"/>
      <c r="H58" s="191">
        <f>H52+H53</f>
        <v>5684591875.000001</v>
      </c>
      <c r="I58" s="192"/>
    </row>
    <row r="59" spans="1:10" s="106" customFormat="1" ht="20.25" customHeight="1" x14ac:dyDescent="0.25">
      <c r="B59" s="182" t="s">
        <v>266</v>
      </c>
      <c r="C59" s="183"/>
      <c r="D59" s="183"/>
      <c r="E59" s="184"/>
      <c r="F59" s="184"/>
      <c r="G59" s="183"/>
      <c r="H59" s="191">
        <f>H53</f>
        <v>3997091875.000001</v>
      </c>
      <c r="I59" s="192"/>
    </row>
    <row r="60" spans="1:10" ht="384" customHeight="1" x14ac:dyDescent="0.2">
      <c r="B60" s="187" t="s">
        <v>449</v>
      </c>
      <c r="C60" s="103"/>
      <c r="D60" s="103"/>
      <c r="E60" s="103"/>
      <c r="F60" s="103"/>
      <c r="G60" s="103"/>
    </row>
    <row r="62" spans="1:10" x14ac:dyDescent="0.2">
      <c r="G62" s="193"/>
    </row>
    <row r="63" spans="1:10" x14ac:dyDescent="0.2">
      <c r="B63" s="42"/>
      <c r="C63" s="194"/>
      <c r="D63" s="195"/>
      <c r="E63" s="194"/>
      <c r="F63" s="194"/>
      <c r="G63" s="194"/>
      <c r="H63" s="116"/>
    </row>
    <row r="64" spans="1:10" x14ac:dyDescent="0.2">
      <c r="B64" s="42"/>
    </row>
    <row r="66" spans="4:8" x14ac:dyDescent="0.2">
      <c r="F66" s="53"/>
      <c r="H66" s="116"/>
    </row>
    <row r="67" spans="4:8" x14ac:dyDescent="0.2">
      <c r="F67" s="53"/>
      <c r="H67" s="53"/>
    </row>
    <row r="68" spans="4:8" x14ac:dyDescent="0.2">
      <c r="D68" s="53"/>
    </row>
    <row r="69" spans="4:8" x14ac:dyDescent="0.2">
      <c r="D69" s="53"/>
    </row>
    <row r="70" spans="4:8" x14ac:dyDescent="0.2">
      <c r="F70" s="116"/>
    </row>
    <row r="73" spans="4:8" x14ac:dyDescent="0.2">
      <c r="D73" s="53"/>
      <c r="E73" s="53"/>
    </row>
    <row r="81" spans="6:7" x14ac:dyDescent="0.2">
      <c r="F81" s="53"/>
      <c r="G81" s="53"/>
    </row>
    <row r="82" spans="6:7" x14ac:dyDescent="0.2">
      <c r="F82" s="53"/>
      <c r="G82" s="53"/>
    </row>
    <row r="83" spans="6:7" x14ac:dyDescent="0.2">
      <c r="F83" s="53"/>
      <c r="G83" s="53"/>
    </row>
    <row r="84" spans="6:7" x14ac:dyDescent="0.2">
      <c r="F84" s="53"/>
      <c r="G84" s="53"/>
    </row>
    <row r="85" spans="6:7" x14ac:dyDescent="0.2">
      <c r="F85" s="53"/>
      <c r="G85" s="53"/>
    </row>
    <row r="86" spans="6:7" x14ac:dyDescent="0.2">
      <c r="F86" s="53"/>
      <c r="G86" s="53"/>
    </row>
    <row r="87" spans="6:7" x14ac:dyDescent="0.2">
      <c r="F87" s="53"/>
      <c r="G87" s="53"/>
    </row>
    <row r="88" spans="6:7" x14ac:dyDescent="0.2">
      <c r="F88" s="53"/>
      <c r="G88" s="53"/>
    </row>
    <row r="89" spans="6:7" x14ac:dyDescent="0.2">
      <c r="F89" s="53"/>
      <c r="G89" s="53"/>
    </row>
    <row r="90" spans="6:7" x14ac:dyDescent="0.2">
      <c r="F90" s="53"/>
      <c r="G90" s="53"/>
    </row>
    <row r="91" spans="6:7" x14ac:dyDescent="0.2">
      <c r="F91" s="53"/>
      <c r="G91" s="53"/>
    </row>
    <row r="92" spans="6:7" x14ac:dyDescent="0.2">
      <c r="F92" s="53"/>
      <c r="G92" s="53"/>
    </row>
    <row r="93" spans="6:7" x14ac:dyDescent="0.2">
      <c r="F93" s="53"/>
      <c r="G93" s="53"/>
    </row>
    <row r="94" spans="6:7" x14ac:dyDescent="0.2">
      <c r="F94" s="53"/>
      <c r="G94" s="53"/>
    </row>
    <row r="95" spans="6:7" x14ac:dyDescent="0.2">
      <c r="F95" s="53"/>
      <c r="G95" s="53"/>
    </row>
    <row r="96" spans="6:7" x14ac:dyDescent="0.2">
      <c r="F96" s="53"/>
      <c r="G96" s="53"/>
    </row>
    <row r="97" spans="6:7" x14ac:dyDescent="0.2">
      <c r="F97" s="53"/>
      <c r="G97" s="53"/>
    </row>
    <row r="98" spans="6:7" x14ac:dyDescent="0.2">
      <c r="F98" s="53"/>
      <c r="G98" s="53"/>
    </row>
    <row r="99" spans="6:7" x14ac:dyDescent="0.2">
      <c r="F99" s="53"/>
      <c r="G99" s="53"/>
    </row>
    <row r="100" spans="6:7" x14ac:dyDescent="0.2">
      <c r="F100" s="53"/>
      <c r="G100" s="53"/>
    </row>
    <row r="101" spans="6:7" x14ac:dyDescent="0.2">
      <c r="F101" s="53"/>
      <c r="G101" s="53"/>
    </row>
    <row r="104" spans="6:7" x14ac:dyDescent="0.2">
      <c r="G104" s="53"/>
    </row>
  </sheetData>
  <sheetProtection algorithmName="SHA-512" hashValue="q4xwPsaRcniwMnf4PQqIPpWBYS98MhfbJZYfwdxc1tGUJAbfHiCUxG6zubAxdaYZnV6B+5Mu1QU9s4uKcGashQ==" saltValue="BuztsoN4VtJSZXgeqjf2Pg==" spinCount="100000" sheet="1" objects="1" scenarios="1"/>
  <mergeCells count="2">
    <mergeCell ref="B13:H14"/>
    <mergeCell ref="B29:H29"/>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42"/>
  <sheetViews>
    <sheetView showGridLines="0" zoomScale="60" zoomScaleNormal="60" workbookViewId="0">
      <selection activeCell="B9" sqref="B9"/>
    </sheetView>
  </sheetViews>
  <sheetFormatPr baseColWidth="10" defaultColWidth="10.7109375" defaultRowHeight="14.25" x14ac:dyDescent="0.2"/>
  <cols>
    <col min="1" max="1" width="13.42578125" style="102" customWidth="1"/>
    <col min="2" max="2" width="67.42578125" style="102" customWidth="1"/>
    <col min="3" max="3" width="29.85546875" style="102" customWidth="1"/>
    <col min="4" max="4" width="22.28515625" style="102" customWidth="1"/>
    <col min="5" max="5" width="22.42578125" style="102" customWidth="1"/>
    <col min="6" max="6" width="19.85546875" style="102" bestFit="1" customWidth="1"/>
    <col min="7" max="7" width="18.42578125" style="102" bestFit="1" customWidth="1"/>
    <col min="8" max="8" width="23" style="102" bestFit="1" customWidth="1"/>
    <col min="9" max="9" width="19.7109375" style="102" customWidth="1"/>
    <col min="10" max="10" width="17.42578125" style="102" bestFit="1" customWidth="1"/>
    <col min="11" max="11" width="18.28515625" style="102" bestFit="1" customWidth="1"/>
    <col min="12" max="12" width="19.140625" style="102" bestFit="1" customWidth="1"/>
    <col min="13" max="13" width="17.42578125" style="102" bestFit="1" customWidth="1"/>
    <col min="14" max="14" width="18.42578125" style="102" bestFit="1" customWidth="1"/>
    <col min="15" max="15" width="17.42578125" style="102" bestFit="1" customWidth="1"/>
    <col min="16" max="16" width="17.42578125" style="102" customWidth="1"/>
    <col min="17" max="17" width="18.42578125" style="102" bestFit="1" customWidth="1"/>
    <col min="18" max="19" width="17.42578125" style="102" bestFit="1" customWidth="1"/>
    <col min="20" max="20" width="18.42578125" style="102" bestFit="1" customWidth="1"/>
    <col min="21" max="22" width="17.42578125" style="102" bestFit="1" customWidth="1"/>
    <col min="23" max="23" width="18.42578125" style="102" bestFit="1" customWidth="1"/>
    <col min="24" max="24" width="19.140625" style="102" bestFit="1" customWidth="1"/>
    <col min="25" max="25" width="19" style="102" bestFit="1" customWidth="1"/>
    <col min="26" max="26" width="19.140625" style="102" bestFit="1" customWidth="1"/>
    <col min="27" max="27" width="17" style="102" bestFit="1" customWidth="1"/>
    <col min="28" max="28" width="17.85546875" style="102" customWidth="1"/>
    <col min="29" max="16384" width="10.7109375" style="102"/>
  </cols>
  <sheetData>
    <row r="2" spans="1:26" ht="15" x14ac:dyDescent="0.25">
      <c r="B2" s="58" t="s">
        <v>98</v>
      </c>
    </row>
    <row r="3" spans="1:26" s="103" customFormat="1" ht="15" x14ac:dyDescent="0.25">
      <c r="A3" s="50"/>
    </row>
    <row r="4" spans="1:26" ht="21.75" customHeight="1" x14ac:dyDescent="0.25">
      <c r="A4" s="59"/>
      <c r="B4" s="171" t="str">
        <f>'PPP_V3_y Costos'!C13</f>
        <v xml:space="preserve">5. Fortalecimiento de la gestión ambiental en la cadena maicera.
</v>
      </c>
      <c r="C4" s="61"/>
      <c r="D4" s="62"/>
    </row>
    <row r="5" spans="1:26" ht="26.25" customHeight="1" x14ac:dyDescent="0.2"/>
    <row r="6" spans="1:26" ht="15" x14ac:dyDescent="0.25">
      <c r="E6" s="63">
        <v>1</v>
      </c>
      <c r="F6" s="63">
        <v>2</v>
      </c>
      <c r="G6" s="63">
        <v>3</v>
      </c>
      <c r="H6" s="63">
        <v>4</v>
      </c>
      <c r="I6" s="63">
        <v>5</v>
      </c>
      <c r="J6" s="63">
        <v>6</v>
      </c>
      <c r="K6" s="63">
        <v>7</v>
      </c>
      <c r="L6" s="63">
        <v>8</v>
      </c>
      <c r="M6" s="63">
        <v>9</v>
      </c>
      <c r="N6" s="63">
        <v>10</v>
      </c>
      <c r="O6" s="63">
        <v>11</v>
      </c>
      <c r="P6" s="63">
        <v>12</v>
      </c>
      <c r="Q6" s="63">
        <v>13</v>
      </c>
      <c r="R6" s="63">
        <v>14</v>
      </c>
      <c r="S6" s="63">
        <v>15</v>
      </c>
      <c r="T6" s="63">
        <v>16</v>
      </c>
      <c r="U6" s="63">
        <v>17</v>
      </c>
      <c r="V6" s="63">
        <v>18</v>
      </c>
      <c r="W6" s="63">
        <v>19</v>
      </c>
      <c r="X6" s="63">
        <v>20</v>
      </c>
      <c r="Y6" s="63" t="s">
        <v>33</v>
      </c>
    </row>
    <row r="7" spans="1:26" s="40" customFormat="1" ht="15" x14ac:dyDescent="0.25">
      <c r="A7" s="102"/>
      <c r="B7" s="64" t="s">
        <v>29</v>
      </c>
      <c r="C7" s="65" t="s">
        <v>77</v>
      </c>
      <c r="D7" s="65" t="s">
        <v>380</v>
      </c>
      <c r="E7" s="66">
        <f t="shared" ref="E7:X7" si="0">SUM(E8:E8)</f>
        <v>674788448.37700009</v>
      </c>
      <c r="F7" s="66">
        <f t="shared" si="0"/>
        <v>2699153793.5080004</v>
      </c>
      <c r="G7" s="66">
        <f t="shared" si="0"/>
        <v>2699153793.5080004</v>
      </c>
      <c r="H7" s="66">
        <f t="shared" si="0"/>
        <v>2024365345.1310003</v>
      </c>
      <c r="I7" s="66">
        <f t="shared" si="0"/>
        <v>0</v>
      </c>
      <c r="J7" s="66">
        <f t="shared" si="0"/>
        <v>0</v>
      </c>
      <c r="K7" s="66">
        <f t="shared" si="0"/>
        <v>2699153793.5080004</v>
      </c>
      <c r="L7" s="66">
        <f t="shared" si="0"/>
        <v>0</v>
      </c>
      <c r="M7" s="66">
        <f t="shared" si="0"/>
        <v>0</v>
      </c>
      <c r="N7" s="66">
        <f t="shared" si="0"/>
        <v>2699153793.5080004</v>
      </c>
      <c r="O7" s="66">
        <f t="shared" si="0"/>
        <v>0</v>
      </c>
      <c r="P7" s="66">
        <f t="shared" si="0"/>
        <v>0</v>
      </c>
      <c r="Q7" s="66">
        <f t="shared" si="0"/>
        <v>2699153793.5080004</v>
      </c>
      <c r="R7" s="66">
        <f t="shared" si="0"/>
        <v>0</v>
      </c>
      <c r="S7" s="66">
        <f t="shared" si="0"/>
        <v>0</v>
      </c>
      <c r="T7" s="66">
        <f t="shared" si="0"/>
        <v>2699153793.5080004</v>
      </c>
      <c r="U7" s="66">
        <f t="shared" si="0"/>
        <v>0</v>
      </c>
      <c r="V7" s="66">
        <f t="shared" si="0"/>
        <v>0</v>
      </c>
      <c r="W7" s="66">
        <f t="shared" si="0"/>
        <v>2699153793.5080004</v>
      </c>
      <c r="X7" s="66">
        <f t="shared" si="0"/>
        <v>0</v>
      </c>
      <c r="Y7" s="66">
        <f>SUM(E7:X7)</f>
        <v>21593230348.063999</v>
      </c>
      <c r="Z7" s="67"/>
    </row>
    <row r="8" spans="1:26" s="71" customFormat="1" ht="45.75" customHeight="1" x14ac:dyDescent="0.2">
      <c r="A8" s="68"/>
      <c r="B8" s="69" t="str">
        <f>'PPP_V3_y Costos'!D13</f>
        <v>5.1. Mejora del desempeño ambiental de la cadena de maíz.</v>
      </c>
      <c r="C8" s="144" t="s">
        <v>235</v>
      </c>
      <c r="D8" s="71" t="s">
        <v>177</v>
      </c>
      <c r="E8" s="70">
        <f>+H38*3</f>
        <v>674788448.37700009</v>
      </c>
      <c r="F8" s="70">
        <f>+H37</f>
        <v>2699153793.5080004</v>
      </c>
      <c r="G8" s="70">
        <f>+H37</f>
        <v>2699153793.5080004</v>
      </c>
      <c r="H8" s="70">
        <f>+H38*9</f>
        <v>2024365345.1310003</v>
      </c>
      <c r="I8" s="70" t="str">
        <f>+H36</f>
        <v>Por definir</v>
      </c>
      <c r="J8" s="70" t="str">
        <f>+H36</f>
        <v>Por definir</v>
      </c>
      <c r="K8" s="70">
        <f>+H37</f>
        <v>2699153793.5080004</v>
      </c>
      <c r="L8" s="70" t="str">
        <f>+H36</f>
        <v>Por definir</v>
      </c>
      <c r="M8" s="70" t="str">
        <f>+H36</f>
        <v>Por definir</v>
      </c>
      <c r="N8" s="70">
        <f>+H37</f>
        <v>2699153793.5080004</v>
      </c>
      <c r="O8" s="70" t="str">
        <f>+H36</f>
        <v>Por definir</v>
      </c>
      <c r="P8" s="70" t="str">
        <f>+H36</f>
        <v>Por definir</v>
      </c>
      <c r="Q8" s="70">
        <f>+H37</f>
        <v>2699153793.5080004</v>
      </c>
      <c r="R8" s="70" t="str">
        <f>+H36</f>
        <v>Por definir</v>
      </c>
      <c r="S8" s="70" t="str">
        <f>+H36</f>
        <v>Por definir</v>
      </c>
      <c r="T8" s="70">
        <f>+H37</f>
        <v>2699153793.5080004</v>
      </c>
      <c r="U8" s="70" t="str">
        <f>+H36</f>
        <v>Por definir</v>
      </c>
      <c r="V8" s="70" t="str">
        <f>+H36</f>
        <v>Por definir</v>
      </c>
      <c r="W8" s="70">
        <f>+H37</f>
        <v>2699153793.5080004</v>
      </c>
      <c r="X8" s="70" t="str">
        <f>+H36</f>
        <v>Por definir</v>
      </c>
      <c r="Y8" s="70">
        <f>SUM(E8:X8)</f>
        <v>21593230348.063999</v>
      </c>
      <c r="Z8" s="67"/>
    </row>
    <row r="9" spans="1:26" s="175" customFormat="1" ht="24.75" customHeight="1" x14ac:dyDescent="0.25">
      <c r="A9" s="106"/>
      <c r="B9" s="172" t="s">
        <v>33</v>
      </c>
      <c r="C9" s="172"/>
      <c r="D9" s="172"/>
      <c r="E9" s="176"/>
      <c r="F9" s="176"/>
      <c r="G9" s="176"/>
      <c r="H9" s="176"/>
      <c r="I9" s="176"/>
      <c r="J9" s="176"/>
      <c r="K9" s="176"/>
      <c r="L9" s="176"/>
      <c r="M9" s="176"/>
      <c r="N9" s="176"/>
      <c r="O9" s="176"/>
      <c r="P9" s="176"/>
      <c r="Q9" s="176"/>
      <c r="R9" s="176"/>
      <c r="S9" s="176"/>
      <c r="T9" s="176"/>
      <c r="U9" s="176"/>
      <c r="V9" s="176"/>
      <c r="W9" s="176"/>
      <c r="X9" s="176"/>
      <c r="Y9" s="176"/>
      <c r="Z9" s="174"/>
    </row>
    <row r="10" spans="1:26" s="76" customFormat="1" ht="24.75" customHeight="1" x14ac:dyDescent="0.25">
      <c r="A10" s="103"/>
      <c r="B10" s="73"/>
      <c r="C10" s="73"/>
      <c r="D10" s="73"/>
      <c r="E10" s="73"/>
      <c r="F10" s="74"/>
      <c r="G10" s="75"/>
      <c r="H10" s="74"/>
      <c r="I10" s="74"/>
      <c r="J10" s="74"/>
      <c r="K10" s="74"/>
      <c r="L10" s="74"/>
      <c r="M10" s="74"/>
      <c r="N10" s="74"/>
      <c r="O10" s="74"/>
      <c r="P10" s="74"/>
      <c r="Q10" s="74"/>
      <c r="R10" s="74"/>
      <c r="S10" s="74"/>
      <c r="T10" s="74"/>
      <c r="U10" s="74"/>
      <c r="V10" s="74"/>
      <c r="W10" s="74"/>
      <c r="X10" s="74"/>
      <c r="Y10" s="74"/>
      <c r="Z10" s="74"/>
    </row>
    <row r="12" spans="1:26" s="103" customFormat="1" ht="14.45" customHeight="1" x14ac:dyDescent="0.25">
      <c r="B12" s="717" t="str">
        <f>B8</f>
        <v>5.1. Mejora del desempeño ambiental de la cadena de maíz.</v>
      </c>
      <c r="C12" s="718"/>
      <c r="D12" s="718"/>
      <c r="E12" s="718"/>
      <c r="F12" s="718"/>
      <c r="G12" s="718"/>
      <c r="H12" s="718"/>
      <c r="I12" s="340"/>
      <c r="X12" s="78"/>
    </row>
    <row r="13" spans="1:26" s="103" customFormat="1" ht="14.45" customHeight="1" x14ac:dyDescent="0.25">
      <c r="B13" s="719"/>
      <c r="C13" s="719"/>
      <c r="D13" s="719"/>
      <c r="E13" s="719"/>
      <c r="F13" s="719"/>
      <c r="G13" s="719"/>
      <c r="H13" s="719"/>
      <c r="I13" s="340"/>
      <c r="X13" s="78"/>
    </row>
    <row r="14" spans="1:26" ht="15" x14ac:dyDescent="0.25">
      <c r="B14" s="79" t="s">
        <v>79</v>
      </c>
      <c r="C14" s="79" t="s">
        <v>59</v>
      </c>
      <c r="D14" s="79" t="s">
        <v>56</v>
      </c>
      <c r="E14" s="79" t="s">
        <v>55</v>
      </c>
      <c r="F14" s="80" t="s">
        <v>108</v>
      </c>
      <c r="G14" s="79" t="s">
        <v>81</v>
      </c>
      <c r="H14" s="79" t="s">
        <v>82</v>
      </c>
      <c r="X14" s="81"/>
    </row>
    <row r="15" spans="1:26" x14ac:dyDescent="0.2">
      <c r="B15" s="180" t="s">
        <v>83</v>
      </c>
      <c r="C15" s="104">
        <v>4</v>
      </c>
      <c r="D15" s="104" t="s">
        <v>84</v>
      </c>
      <c r="E15" s="45">
        <v>500000</v>
      </c>
      <c r="F15" s="104"/>
      <c r="G15" s="104"/>
      <c r="H15" s="82">
        <f t="shared" ref="H15:H27" si="1">+C15*E15</f>
        <v>2000000</v>
      </c>
      <c r="J15" s="53"/>
    </row>
    <row r="16" spans="1:26" x14ac:dyDescent="0.2">
      <c r="B16" s="181" t="s">
        <v>85</v>
      </c>
      <c r="C16" s="49">
        <v>19</v>
      </c>
      <c r="D16" s="49" t="s">
        <v>84</v>
      </c>
      <c r="E16" s="196">
        <v>100000</v>
      </c>
      <c r="F16" s="49"/>
      <c r="G16" s="49"/>
      <c r="H16" s="151">
        <f t="shared" si="1"/>
        <v>1900000</v>
      </c>
      <c r="J16" s="53"/>
    </row>
    <row r="17" spans="2:10" x14ac:dyDescent="0.2">
      <c r="B17" s="181" t="s">
        <v>294</v>
      </c>
      <c r="C17" s="49">
        <v>4</v>
      </c>
      <c r="D17" s="49" t="s">
        <v>84</v>
      </c>
      <c r="E17" s="196">
        <v>2300000</v>
      </c>
      <c r="F17" s="49"/>
      <c r="G17" s="49"/>
      <c r="H17" s="151">
        <f t="shared" si="1"/>
        <v>9200000</v>
      </c>
      <c r="J17" s="53"/>
    </row>
    <row r="18" spans="2:10" x14ac:dyDescent="0.2">
      <c r="B18" s="181" t="s">
        <v>290</v>
      </c>
      <c r="C18" s="49">
        <v>7</v>
      </c>
      <c r="D18" s="49" t="s">
        <v>84</v>
      </c>
      <c r="E18" s="196">
        <v>2300000</v>
      </c>
      <c r="F18" s="49"/>
      <c r="G18" s="49"/>
      <c r="H18" s="151">
        <f t="shared" si="1"/>
        <v>16100000</v>
      </c>
      <c r="J18" s="53"/>
    </row>
    <row r="19" spans="2:10" x14ac:dyDescent="0.2">
      <c r="B19" s="181" t="s">
        <v>302</v>
      </c>
      <c r="C19" s="49">
        <v>19</v>
      </c>
      <c r="D19" s="49" t="s">
        <v>84</v>
      </c>
      <c r="E19" s="150">
        <v>460000</v>
      </c>
      <c r="F19" s="49"/>
      <c r="G19" s="49"/>
      <c r="H19" s="151">
        <f t="shared" si="1"/>
        <v>8740000</v>
      </c>
      <c r="J19" s="53"/>
    </row>
    <row r="20" spans="2:10" x14ac:dyDescent="0.2">
      <c r="B20" s="181" t="s">
        <v>87</v>
      </c>
      <c r="C20" s="49">
        <v>7</v>
      </c>
      <c r="D20" s="49" t="s">
        <v>297</v>
      </c>
      <c r="E20" s="150">
        <v>6000000</v>
      </c>
      <c r="F20" s="49"/>
      <c r="G20" s="49"/>
      <c r="H20" s="151">
        <f t="shared" si="1"/>
        <v>42000000</v>
      </c>
      <c r="J20" s="53"/>
    </row>
    <row r="21" spans="2:10" x14ac:dyDescent="0.2">
      <c r="B21" s="181" t="s">
        <v>88</v>
      </c>
      <c r="C21" s="49">
        <v>19</v>
      </c>
      <c r="D21" s="49" t="s">
        <v>84</v>
      </c>
      <c r="E21" s="150">
        <v>1800000</v>
      </c>
      <c r="F21" s="49"/>
      <c r="G21" s="49"/>
      <c r="H21" s="151">
        <f t="shared" si="1"/>
        <v>34200000</v>
      </c>
      <c r="J21" s="53"/>
    </row>
    <row r="22" spans="2:10" x14ac:dyDescent="0.2">
      <c r="B22" s="181" t="s">
        <v>178</v>
      </c>
      <c r="C22" s="49">
        <v>7</v>
      </c>
      <c r="D22" s="49" t="s">
        <v>298</v>
      </c>
      <c r="E22" s="150">
        <v>1500000</v>
      </c>
      <c r="F22" s="97"/>
      <c r="G22" s="49"/>
      <c r="H22" s="151">
        <f t="shared" si="1"/>
        <v>10500000</v>
      </c>
      <c r="J22" s="53"/>
    </row>
    <row r="23" spans="2:10" x14ac:dyDescent="0.2">
      <c r="B23" s="181" t="s">
        <v>190</v>
      </c>
      <c r="C23" s="49">
        <v>19</v>
      </c>
      <c r="D23" s="49" t="s">
        <v>84</v>
      </c>
      <c r="E23" s="150">
        <v>450000</v>
      </c>
      <c r="F23" s="49"/>
      <c r="G23" s="49"/>
      <c r="H23" s="151">
        <f t="shared" si="1"/>
        <v>8550000</v>
      </c>
      <c r="J23" s="53"/>
    </row>
    <row r="24" spans="2:10" x14ac:dyDescent="0.2">
      <c r="B24" s="181" t="s">
        <v>303</v>
      </c>
      <c r="C24" s="49">
        <v>19</v>
      </c>
      <c r="D24" s="49" t="s">
        <v>304</v>
      </c>
      <c r="E24" s="196">
        <v>3270000</v>
      </c>
      <c r="F24" s="49"/>
      <c r="G24" s="49"/>
      <c r="H24" s="151">
        <f t="shared" si="1"/>
        <v>62130000</v>
      </c>
      <c r="I24" s="84"/>
      <c r="J24" s="138"/>
    </row>
    <row r="25" spans="2:10" x14ac:dyDescent="0.2">
      <c r="B25" s="181" t="s">
        <v>305</v>
      </c>
      <c r="C25" s="49">
        <v>19</v>
      </c>
      <c r="D25" s="49" t="s">
        <v>84</v>
      </c>
      <c r="E25" s="196">
        <v>5170000</v>
      </c>
      <c r="F25" s="49"/>
      <c r="G25" s="49"/>
      <c r="H25" s="151">
        <f t="shared" si="1"/>
        <v>98230000</v>
      </c>
      <c r="I25" s="84"/>
      <c r="J25" s="138"/>
    </row>
    <row r="26" spans="2:10" x14ac:dyDescent="0.2">
      <c r="B26" s="181" t="s">
        <v>306</v>
      </c>
      <c r="C26" s="49">
        <v>7</v>
      </c>
      <c r="D26" s="49" t="s">
        <v>298</v>
      </c>
      <c r="E26" s="196">
        <v>3000000</v>
      </c>
      <c r="F26" s="49"/>
      <c r="G26" s="49"/>
      <c r="H26" s="151">
        <f t="shared" si="1"/>
        <v>21000000</v>
      </c>
      <c r="I26" s="84"/>
      <c r="J26" s="138"/>
    </row>
    <row r="27" spans="2:10" x14ac:dyDescent="0.2">
      <c r="B27" s="181" t="s">
        <v>307</v>
      </c>
      <c r="C27" s="49">
        <v>19</v>
      </c>
      <c r="D27" s="49" t="s">
        <v>84</v>
      </c>
      <c r="E27" s="196">
        <v>900000</v>
      </c>
      <c r="F27" s="49"/>
      <c r="G27" s="49"/>
      <c r="H27" s="151">
        <f t="shared" si="1"/>
        <v>17100000</v>
      </c>
      <c r="I27" s="84"/>
      <c r="J27" s="138"/>
    </row>
    <row r="28" spans="2:10" x14ac:dyDescent="0.2">
      <c r="B28" s="181" t="s">
        <v>230</v>
      </c>
      <c r="C28" s="49">
        <v>2</v>
      </c>
      <c r="D28" s="49" t="s">
        <v>308</v>
      </c>
      <c r="E28" s="196">
        <v>7233751</v>
      </c>
      <c r="F28" s="97">
        <v>1</v>
      </c>
      <c r="G28" s="49">
        <v>12</v>
      </c>
      <c r="H28" s="151">
        <f>+C28*E28*F28*G28</f>
        <v>173610024</v>
      </c>
      <c r="I28" s="101"/>
      <c r="J28" s="138"/>
    </row>
    <row r="29" spans="2:10" x14ac:dyDescent="0.2">
      <c r="B29" s="181" t="s">
        <v>91</v>
      </c>
      <c r="C29" s="49">
        <v>2</v>
      </c>
      <c r="D29" s="49" t="s">
        <v>84</v>
      </c>
      <c r="E29" s="196">
        <v>2682805</v>
      </c>
      <c r="F29" s="49"/>
      <c r="G29" s="49">
        <v>3</v>
      </c>
      <c r="H29" s="151">
        <f>+C29*E29*G29</f>
        <v>16096830</v>
      </c>
      <c r="I29" s="101"/>
      <c r="J29" s="138"/>
    </row>
    <row r="30" spans="2:10" x14ac:dyDescent="0.2">
      <c r="B30" s="181" t="s">
        <v>249</v>
      </c>
      <c r="C30" s="49">
        <v>19</v>
      </c>
      <c r="D30" s="49" t="s">
        <v>84</v>
      </c>
      <c r="E30" s="196">
        <v>6604729</v>
      </c>
      <c r="F30" s="97">
        <v>1</v>
      </c>
      <c r="G30" s="49">
        <v>12</v>
      </c>
      <c r="H30" s="151">
        <f>+C30*E30*F30*G30</f>
        <v>1505878212</v>
      </c>
      <c r="I30" s="101"/>
      <c r="J30" s="138"/>
    </row>
    <row r="31" spans="2:10" x14ac:dyDescent="0.2">
      <c r="B31" s="181" t="s">
        <v>57</v>
      </c>
      <c r="C31" s="49">
        <f>+C30</f>
        <v>19</v>
      </c>
      <c r="D31" s="49" t="s">
        <v>185</v>
      </c>
      <c r="E31" s="196">
        <v>1300000</v>
      </c>
      <c r="F31" s="49"/>
      <c r="G31" s="49"/>
      <c r="H31" s="151">
        <f>+C31*E31</f>
        <v>24700000</v>
      </c>
      <c r="I31" s="101"/>
      <c r="J31" s="138"/>
    </row>
    <row r="32" spans="2:10" x14ac:dyDescent="0.2">
      <c r="B32" s="181" t="s">
        <v>194</v>
      </c>
      <c r="C32" s="49">
        <f>+C30</f>
        <v>19</v>
      </c>
      <c r="D32" s="49" t="s">
        <v>185</v>
      </c>
      <c r="E32" s="150">
        <v>155000</v>
      </c>
      <c r="F32" s="98"/>
      <c r="G32" s="104">
        <v>12</v>
      </c>
      <c r="H32" s="82">
        <f>+C32*E32*G32</f>
        <v>35340000</v>
      </c>
      <c r="I32" s="101"/>
      <c r="J32" s="138"/>
    </row>
    <row r="33" spans="2:10" x14ac:dyDescent="0.2">
      <c r="B33" s="181" t="s">
        <v>309</v>
      </c>
      <c r="C33" s="49">
        <v>7</v>
      </c>
      <c r="D33" s="49" t="s">
        <v>84</v>
      </c>
      <c r="E33" s="196">
        <v>10745859.024</v>
      </c>
      <c r="F33" s="49"/>
      <c r="G33" s="49"/>
      <c r="H33" s="151">
        <f>+C33*E33</f>
        <v>75221013.167999998</v>
      </c>
      <c r="I33" s="44"/>
      <c r="J33" s="53"/>
    </row>
    <row r="34" spans="2:10" x14ac:dyDescent="0.2">
      <c r="B34" s="181" t="s">
        <v>310</v>
      </c>
      <c r="C34" s="49">
        <v>7</v>
      </c>
      <c r="D34" s="49" t="s">
        <v>84</v>
      </c>
      <c r="E34" s="196">
        <v>38953149.899999999</v>
      </c>
      <c r="F34" s="49"/>
      <c r="G34" s="49"/>
      <c r="H34" s="151">
        <f>+C34*E34</f>
        <v>272672049.30000001</v>
      </c>
      <c r="I34" s="44"/>
      <c r="J34" s="53"/>
    </row>
    <row r="35" spans="2:10" x14ac:dyDescent="0.2">
      <c r="B35" s="181" t="s">
        <v>311</v>
      </c>
      <c r="C35" s="49">
        <v>4</v>
      </c>
      <c r="D35" s="49" t="s">
        <v>84</v>
      </c>
      <c r="E35" s="196">
        <v>65996416.260000005</v>
      </c>
      <c r="F35" s="49"/>
      <c r="G35" s="49"/>
      <c r="H35" s="151">
        <f>+C35*E35</f>
        <v>263985665.04000002</v>
      </c>
      <c r="I35" s="44"/>
      <c r="J35" s="53"/>
    </row>
    <row r="36" spans="2:10" x14ac:dyDescent="0.2">
      <c r="B36" s="181" t="s">
        <v>203</v>
      </c>
      <c r="C36" s="49"/>
      <c r="D36" s="49"/>
      <c r="E36" s="196"/>
      <c r="F36" s="49"/>
      <c r="G36" s="49"/>
      <c r="H36" s="151" t="s">
        <v>78</v>
      </c>
      <c r="I36" s="44"/>
      <c r="J36" s="53"/>
    </row>
    <row r="37" spans="2:10" ht="15" x14ac:dyDescent="0.25">
      <c r="B37" s="86" t="s">
        <v>33</v>
      </c>
      <c r="C37" s="87"/>
      <c r="D37" s="87"/>
      <c r="E37" s="87"/>
      <c r="F37" s="88"/>
      <c r="G37" s="88"/>
      <c r="H37" s="115">
        <f>SUM(H15:H36)</f>
        <v>2699153793.5080004</v>
      </c>
      <c r="I37" s="84"/>
      <c r="J37" s="103"/>
    </row>
    <row r="38" spans="2:10" ht="15" x14ac:dyDescent="0.25">
      <c r="B38" s="86" t="s">
        <v>292</v>
      </c>
      <c r="C38" s="87"/>
      <c r="D38" s="87"/>
      <c r="E38" s="87"/>
      <c r="F38" s="88"/>
      <c r="G38" s="88"/>
      <c r="H38" s="115">
        <f>+H37/12</f>
        <v>224929482.79233336</v>
      </c>
      <c r="I38" s="84"/>
      <c r="J38" s="103"/>
    </row>
    <row r="39" spans="2:10" s="103" customFormat="1" ht="266.25" customHeight="1" x14ac:dyDescent="0.2">
      <c r="B39" s="197" t="s">
        <v>382</v>
      </c>
      <c r="C39" s="90"/>
      <c r="D39" s="90"/>
      <c r="E39" s="90"/>
      <c r="F39" s="90"/>
      <c r="G39" s="90"/>
      <c r="H39" s="90"/>
    </row>
    <row r="40" spans="2:10" ht="15" x14ac:dyDescent="0.25">
      <c r="B40" s="339"/>
      <c r="C40" s="339"/>
      <c r="D40" s="339"/>
      <c r="E40" s="339"/>
      <c r="F40" s="339"/>
      <c r="G40" s="339"/>
      <c r="H40" s="339"/>
      <c r="I40" s="91"/>
    </row>
    <row r="41" spans="2:10" ht="15" x14ac:dyDescent="0.25">
      <c r="B41" s="339"/>
      <c r="C41" s="339"/>
      <c r="D41" s="339"/>
      <c r="E41" s="339"/>
      <c r="F41" s="339"/>
      <c r="G41" s="339"/>
      <c r="H41" s="339"/>
      <c r="I41" s="91"/>
    </row>
    <row r="42" spans="2:10" x14ac:dyDescent="0.2">
      <c r="B42" s="103"/>
      <c r="C42" s="103"/>
      <c r="D42" s="103"/>
      <c r="E42" s="103"/>
      <c r="F42" s="103"/>
      <c r="G42" s="103"/>
    </row>
  </sheetData>
  <sheetProtection algorithmName="SHA-512" hashValue="0GLigh1KimaHgAtsG2KmveNNgm/G5kL+WG/zw5m5kSQYjsdYJgw0TDAKykaTG/81F1W6U1vgwjb6n13c/W5+8Q==" saltValue="BTt3mQFxWTGlJ/tR+8ztsw==" spinCount="100000" sheet="1" objects="1" scenarios="1"/>
  <mergeCells count="1">
    <mergeCell ref="B12:H1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36"/>
  <sheetViews>
    <sheetView showGridLines="0" zoomScale="60" zoomScaleNormal="60" workbookViewId="0">
      <selection activeCell="B13" sqref="B13"/>
    </sheetView>
  </sheetViews>
  <sheetFormatPr baseColWidth="10" defaultColWidth="10.7109375" defaultRowHeight="14.25" x14ac:dyDescent="0.2"/>
  <cols>
    <col min="1" max="1" width="13.42578125" style="102" customWidth="1"/>
    <col min="2" max="2" width="71.42578125" style="102" customWidth="1"/>
    <col min="3" max="3" width="26.42578125" style="102" customWidth="1"/>
    <col min="4" max="4" width="28.140625" style="102" customWidth="1"/>
    <col min="5" max="5" width="22.42578125" style="102" customWidth="1"/>
    <col min="6" max="7" width="19.7109375" style="102" bestFit="1" customWidth="1"/>
    <col min="8" max="8" width="24.140625" style="102" bestFit="1" customWidth="1"/>
    <col min="9" max="9" width="22.85546875" style="102" customWidth="1"/>
    <col min="10" max="10" width="19.7109375" style="102" bestFit="1" customWidth="1"/>
    <col min="11" max="11" width="20.42578125" style="102" bestFit="1" customWidth="1"/>
    <col min="12" max="12" width="20.140625" style="102" bestFit="1" customWidth="1"/>
    <col min="13" max="22" width="19.7109375" style="102" bestFit="1" customWidth="1"/>
    <col min="23" max="24" width="20.42578125" style="102" bestFit="1" customWidth="1"/>
    <col min="25" max="25" width="21.42578125" style="102" bestFit="1" customWidth="1"/>
    <col min="26" max="26" width="19.140625" style="102" bestFit="1" customWidth="1"/>
    <col min="27" max="27" width="17" style="102" bestFit="1" customWidth="1"/>
    <col min="28" max="28" width="17.85546875" style="102" customWidth="1"/>
    <col min="29" max="16384" width="10.7109375" style="102"/>
  </cols>
  <sheetData>
    <row r="2" spans="1:26" ht="15" x14ac:dyDescent="0.25">
      <c r="A2" s="58" t="s">
        <v>98</v>
      </c>
    </row>
    <row r="3" spans="1:26" s="103" customFormat="1" ht="15" x14ac:dyDescent="0.25">
      <c r="A3" s="50"/>
    </row>
    <row r="4" spans="1:26" ht="21.75" customHeight="1" x14ac:dyDescent="0.25">
      <c r="A4" s="59"/>
      <c r="B4" s="60" t="str">
        <f>'PPP_V3_y Costos'!C14</f>
        <v xml:space="preserve">6. Contribución al mejoramiento en las condiciones de vida de la población vinculada a la cadena de maíz. </v>
      </c>
      <c r="C4" s="61"/>
      <c r="D4" s="62"/>
    </row>
    <row r="5" spans="1:26" ht="26.25" customHeight="1" x14ac:dyDescent="0.2"/>
    <row r="6" spans="1:26" ht="15" x14ac:dyDescent="0.25">
      <c r="E6" s="63">
        <v>1</v>
      </c>
      <c r="F6" s="63">
        <v>2</v>
      </c>
      <c r="G6" s="63">
        <v>3</v>
      </c>
      <c r="H6" s="63">
        <v>4</v>
      </c>
      <c r="I6" s="63">
        <v>5</v>
      </c>
      <c r="J6" s="63">
        <v>6</v>
      </c>
      <c r="K6" s="63">
        <v>7</v>
      </c>
      <c r="L6" s="63">
        <v>8</v>
      </c>
      <c r="M6" s="63">
        <v>9</v>
      </c>
      <c r="N6" s="63">
        <v>10</v>
      </c>
      <c r="O6" s="63">
        <v>11</v>
      </c>
      <c r="P6" s="63">
        <v>12</v>
      </c>
      <c r="Q6" s="63">
        <v>13</v>
      </c>
      <c r="R6" s="63">
        <v>14</v>
      </c>
      <c r="S6" s="63">
        <v>15</v>
      </c>
      <c r="T6" s="63">
        <v>16</v>
      </c>
      <c r="U6" s="63">
        <v>17</v>
      </c>
      <c r="V6" s="63">
        <v>18</v>
      </c>
      <c r="W6" s="63">
        <v>19</v>
      </c>
      <c r="X6" s="63">
        <v>20</v>
      </c>
      <c r="Y6" s="63" t="s">
        <v>33</v>
      </c>
    </row>
    <row r="7" spans="1:26" s="40" customFormat="1" ht="15" x14ac:dyDescent="0.25">
      <c r="A7" s="102"/>
      <c r="B7" s="64" t="s">
        <v>29</v>
      </c>
      <c r="C7" s="65" t="s">
        <v>77</v>
      </c>
      <c r="D7" s="65" t="s">
        <v>176</v>
      </c>
      <c r="E7" s="66">
        <f>SUM(E8:E12)</f>
        <v>1959455896.0999999</v>
      </c>
      <c r="F7" s="66">
        <f t="shared" ref="F7:X7" si="0">SUM(F8:F12)</f>
        <v>12710343817.51111</v>
      </c>
      <c r="G7" s="66">
        <f t="shared" si="0"/>
        <v>12514667742.844444</v>
      </c>
      <c r="H7" s="66">
        <f t="shared" si="0"/>
        <v>11731957546.657778</v>
      </c>
      <c r="I7" s="66">
        <f t="shared" si="0"/>
        <v>11559058167.082312</v>
      </c>
      <c r="J7" s="66">
        <f t="shared" si="0"/>
        <v>11396532750.281372</v>
      </c>
      <c r="K7" s="66">
        <f t="shared" si="0"/>
        <v>11842533544.488489</v>
      </c>
      <c r="L7" s="66">
        <f t="shared" si="0"/>
        <v>11100151400.20318</v>
      </c>
      <c r="M7" s="66">
        <f t="shared" si="0"/>
        <v>10965160389.414989</v>
      </c>
      <c r="N7" s="66">
        <f t="shared" si="0"/>
        <v>10838268839.27409</v>
      </c>
      <c r="O7" s="66">
        <f t="shared" si="0"/>
        <v>11317765468.141645</v>
      </c>
      <c r="P7" s="66">
        <f t="shared" si="0"/>
        <v>10606869408.437147</v>
      </c>
      <c r="Q7" s="66">
        <f t="shared" si="0"/>
        <v>10501475317.154917</v>
      </c>
      <c r="R7" s="66">
        <f t="shared" si="0"/>
        <v>10402404871.349623</v>
      </c>
      <c r="S7" s="66">
        <f t="shared" si="0"/>
        <v>10908053338.292645</v>
      </c>
      <c r="T7" s="66">
        <f t="shared" si="0"/>
        <v>10221740006.379086</v>
      </c>
      <c r="U7" s="66">
        <f t="shared" si="0"/>
        <v>10139453679.220341</v>
      </c>
      <c r="V7" s="66">
        <f t="shared" si="0"/>
        <v>10062104531.69112</v>
      </c>
      <c r="W7" s="66">
        <f t="shared" si="0"/>
        <v>10588171019.013653</v>
      </c>
      <c r="X7" s="66">
        <f t="shared" si="0"/>
        <v>7454295919.8568344</v>
      </c>
      <c r="Y7" s="66">
        <f>SUM(Y8:Y12)</f>
        <v>208820463653.39481</v>
      </c>
      <c r="Z7" s="67"/>
    </row>
    <row r="8" spans="1:26" s="71" customFormat="1" ht="60" customHeight="1" x14ac:dyDescent="0.2">
      <c r="A8" s="68"/>
      <c r="B8" s="69" t="str">
        <f>'PPP_V3_y Costos'!D14</f>
        <v>6.1  Promoción de la atención de las necesidades básicas de los actores vinculados a la cadena.</v>
      </c>
      <c r="C8" s="114" t="s">
        <v>388</v>
      </c>
      <c r="D8" s="114" t="s">
        <v>201</v>
      </c>
      <c r="E8" s="70">
        <f>I40*3</f>
        <v>839055476</v>
      </c>
      <c r="F8" s="70">
        <f>H40</f>
        <v>3356221904</v>
      </c>
      <c r="G8" s="70">
        <f t="shared" ref="G8:X8" si="1">F8</f>
        <v>3356221904</v>
      </c>
      <c r="H8" s="70">
        <f t="shared" si="1"/>
        <v>3356221904</v>
      </c>
      <c r="I8" s="70">
        <f t="shared" si="1"/>
        <v>3356221904</v>
      </c>
      <c r="J8" s="70">
        <f t="shared" si="1"/>
        <v>3356221904</v>
      </c>
      <c r="K8" s="70">
        <f t="shared" si="1"/>
        <v>3356221904</v>
      </c>
      <c r="L8" s="70">
        <f t="shared" si="1"/>
        <v>3356221904</v>
      </c>
      <c r="M8" s="70">
        <f t="shared" si="1"/>
        <v>3356221904</v>
      </c>
      <c r="N8" s="70">
        <f t="shared" si="1"/>
        <v>3356221904</v>
      </c>
      <c r="O8" s="70">
        <f t="shared" si="1"/>
        <v>3356221904</v>
      </c>
      <c r="P8" s="70">
        <f t="shared" si="1"/>
        <v>3356221904</v>
      </c>
      <c r="Q8" s="70">
        <f t="shared" si="1"/>
        <v>3356221904</v>
      </c>
      <c r="R8" s="70">
        <f t="shared" si="1"/>
        <v>3356221904</v>
      </c>
      <c r="S8" s="70">
        <f t="shared" si="1"/>
        <v>3356221904</v>
      </c>
      <c r="T8" s="70">
        <f t="shared" si="1"/>
        <v>3356221904</v>
      </c>
      <c r="U8" s="70">
        <f t="shared" si="1"/>
        <v>3356221904</v>
      </c>
      <c r="V8" s="70">
        <f t="shared" si="1"/>
        <v>3356221904</v>
      </c>
      <c r="W8" s="70">
        <f t="shared" si="1"/>
        <v>3356221904</v>
      </c>
      <c r="X8" s="70">
        <f t="shared" si="1"/>
        <v>3356221904</v>
      </c>
      <c r="Y8" s="70">
        <f>SUM(E8:X8)</f>
        <v>64607271652</v>
      </c>
      <c r="Z8" s="67"/>
    </row>
    <row r="9" spans="1:26" s="71" customFormat="1" ht="42.95" customHeight="1" x14ac:dyDescent="0.2">
      <c r="A9" s="68"/>
      <c r="B9" s="69" t="str">
        <f>'PPP_V3_y Costos'!D15</f>
        <v>6.2. Contribución al incremento del nivel educativo de los actores vinculados a la cadena.</v>
      </c>
      <c r="C9" s="114" t="s">
        <v>388</v>
      </c>
      <c r="D9" s="114" t="s">
        <v>201</v>
      </c>
      <c r="E9" s="70">
        <f>I60*3</f>
        <v>177009036</v>
      </c>
      <c r="F9" s="70">
        <f>H60</f>
        <v>708036144</v>
      </c>
      <c r="G9" s="70">
        <f t="shared" ref="G9:X9" si="2">F9</f>
        <v>708036144</v>
      </c>
      <c r="H9" s="70">
        <f t="shared" si="2"/>
        <v>708036144</v>
      </c>
      <c r="I9" s="70">
        <f t="shared" si="2"/>
        <v>708036144</v>
      </c>
      <c r="J9" s="70">
        <f t="shared" si="2"/>
        <v>708036144</v>
      </c>
      <c r="K9" s="70">
        <f t="shared" si="2"/>
        <v>708036144</v>
      </c>
      <c r="L9" s="70">
        <f t="shared" si="2"/>
        <v>708036144</v>
      </c>
      <c r="M9" s="70">
        <f t="shared" si="2"/>
        <v>708036144</v>
      </c>
      <c r="N9" s="70">
        <f t="shared" si="2"/>
        <v>708036144</v>
      </c>
      <c r="O9" s="70">
        <f t="shared" si="2"/>
        <v>708036144</v>
      </c>
      <c r="P9" s="70">
        <f t="shared" si="2"/>
        <v>708036144</v>
      </c>
      <c r="Q9" s="70">
        <f t="shared" si="2"/>
        <v>708036144</v>
      </c>
      <c r="R9" s="70">
        <f t="shared" si="2"/>
        <v>708036144</v>
      </c>
      <c r="S9" s="70">
        <f t="shared" si="2"/>
        <v>708036144</v>
      </c>
      <c r="T9" s="70">
        <f t="shared" si="2"/>
        <v>708036144</v>
      </c>
      <c r="U9" s="70">
        <f t="shared" si="2"/>
        <v>708036144</v>
      </c>
      <c r="V9" s="70">
        <f t="shared" si="2"/>
        <v>708036144</v>
      </c>
      <c r="W9" s="70">
        <f t="shared" si="2"/>
        <v>708036144</v>
      </c>
      <c r="X9" s="70">
        <f t="shared" si="2"/>
        <v>708036144</v>
      </c>
      <c r="Y9" s="70">
        <f t="shared" ref="Y9:Y12" si="3">SUM(E9:X9)</f>
        <v>13629695772</v>
      </c>
      <c r="Z9" s="67"/>
    </row>
    <row r="10" spans="1:26" s="71" customFormat="1" ht="42.95" customHeight="1" x14ac:dyDescent="0.2">
      <c r="A10" s="68"/>
      <c r="B10" s="69" t="str">
        <f>'PPP_V3_y Costos'!D16</f>
        <v>6.3. Mejora en las capacidades técnicas de los agentes económicos de la cadena</v>
      </c>
      <c r="C10" s="114" t="s">
        <v>388</v>
      </c>
      <c r="D10" s="114" t="s">
        <v>201</v>
      </c>
      <c r="E10" s="70">
        <f>I60*3</f>
        <v>177009036</v>
      </c>
      <c r="F10" s="70">
        <f>I91</f>
        <v>5580556377.1111107</v>
      </c>
      <c r="G10" s="70">
        <f t="shared" ref="G10:X10" si="4">J91</f>
        <v>5384880302.4444447</v>
      </c>
      <c r="H10" s="70">
        <f t="shared" si="4"/>
        <v>5200944792.2577782</v>
      </c>
      <c r="I10" s="70">
        <f t="shared" si="4"/>
        <v>5028045412.6823111</v>
      </c>
      <c r="J10" s="70">
        <f t="shared" si="4"/>
        <v>4865519995.8813725</v>
      </c>
      <c r="K10" s="70">
        <f t="shared" si="4"/>
        <v>4712746104.0884895</v>
      </c>
      <c r="L10" s="70">
        <f t="shared" si="4"/>
        <v>4569138645.8031807</v>
      </c>
      <c r="M10" s="70">
        <f t="shared" si="4"/>
        <v>4434147635.0149899</v>
      </c>
      <c r="N10" s="70">
        <f t="shared" si="4"/>
        <v>4307256084.8740902</v>
      </c>
      <c r="O10" s="70">
        <f t="shared" si="4"/>
        <v>4187978027.7416449</v>
      </c>
      <c r="P10" s="70">
        <f t="shared" si="4"/>
        <v>4075856654.0371466</v>
      </c>
      <c r="Q10" s="70">
        <f t="shared" si="4"/>
        <v>3970462562.7549176</v>
      </c>
      <c r="R10" s="70">
        <f t="shared" si="4"/>
        <v>3871392116.9496226</v>
      </c>
      <c r="S10" s="70">
        <f t="shared" si="4"/>
        <v>3778265897.8926454</v>
      </c>
      <c r="T10" s="70">
        <f t="shared" si="4"/>
        <v>3690727251.9790864</v>
      </c>
      <c r="U10" s="70">
        <f t="shared" si="4"/>
        <v>3608440924.8203416</v>
      </c>
      <c r="V10" s="70">
        <f t="shared" si="4"/>
        <v>3531091777.291121</v>
      </c>
      <c r="W10" s="70">
        <f t="shared" si="4"/>
        <v>3458383578.6136537</v>
      </c>
      <c r="X10" s="70">
        <f t="shared" si="4"/>
        <v>3390037871.8568344</v>
      </c>
      <c r="Y10" s="70">
        <f t="shared" si="3"/>
        <v>81822881050.094788</v>
      </c>
      <c r="Z10" s="67"/>
    </row>
    <row r="11" spans="1:26" s="71" customFormat="1" ht="42.95" customHeight="1" x14ac:dyDescent="0.2">
      <c r="A11" s="68"/>
      <c r="B11" s="69" t="str">
        <f>'PPP_V3_y Costos'!D17</f>
        <v>6.4. Promoción de la generación del empleo formal y la mejora de las condiciones laborales a lo largo de la cadena.</v>
      </c>
      <c r="C11" s="114" t="s">
        <v>388</v>
      </c>
      <c r="D11" s="114" t="s">
        <v>207</v>
      </c>
      <c r="E11" s="70">
        <f>I115*3</f>
        <v>616688676.60000002</v>
      </c>
      <c r="F11" s="70">
        <f>H115</f>
        <v>2466754706.4000001</v>
      </c>
      <c r="G11" s="70">
        <f>H115</f>
        <v>2466754706.4000001</v>
      </c>
      <c r="H11" s="70">
        <f t="shared" ref="H11:W11" si="5">G11</f>
        <v>2466754706.4000001</v>
      </c>
      <c r="I11" s="70">
        <f t="shared" si="5"/>
        <v>2466754706.4000001</v>
      </c>
      <c r="J11" s="70">
        <f t="shared" si="5"/>
        <v>2466754706.4000001</v>
      </c>
      <c r="K11" s="70">
        <f t="shared" si="5"/>
        <v>2466754706.4000001</v>
      </c>
      <c r="L11" s="70">
        <f t="shared" si="5"/>
        <v>2466754706.4000001</v>
      </c>
      <c r="M11" s="70">
        <f t="shared" si="5"/>
        <v>2466754706.4000001</v>
      </c>
      <c r="N11" s="70">
        <f t="shared" si="5"/>
        <v>2466754706.4000001</v>
      </c>
      <c r="O11" s="70">
        <f t="shared" si="5"/>
        <v>2466754706.4000001</v>
      </c>
      <c r="P11" s="70">
        <f t="shared" si="5"/>
        <v>2466754706.4000001</v>
      </c>
      <c r="Q11" s="70">
        <f t="shared" si="5"/>
        <v>2466754706.4000001</v>
      </c>
      <c r="R11" s="70">
        <f t="shared" si="5"/>
        <v>2466754706.4000001</v>
      </c>
      <c r="S11" s="70">
        <f t="shared" si="5"/>
        <v>2466754706.4000001</v>
      </c>
      <c r="T11" s="70">
        <f t="shared" si="5"/>
        <v>2466754706.4000001</v>
      </c>
      <c r="U11" s="70">
        <f t="shared" si="5"/>
        <v>2466754706.4000001</v>
      </c>
      <c r="V11" s="70">
        <f t="shared" si="5"/>
        <v>2466754706.4000001</v>
      </c>
      <c r="W11" s="70">
        <f t="shared" si="5"/>
        <v>2466754706.4000001</v>
      </c>
      <c r="X11" s="70"/>
      <c r="Y11" s="70">
        <f t="shared" si="3"/>
        <v>45018273391.800011</v>
      </c>
      <c r="Z11" s="67"/>
    </row>
    <row r="12" spans="1:26" s="71" customFormat="1" ht="42.95" customHeight="1" x14ac:dyDescent="0.2">
      <c r="A12" s="68"/>
      <c r="B12" s="69" t="str">
        <f>'PPP_V3_y Costos'!D18</f>
        <v>6.5. Contribución a la mejora de condiciones de conectividad vial y de servicios públicos, en las regiones maiceras.</v>
      </c>
      <c r="C12" s="114" t="s">
        <v>388</v>
      </c>
      <c r="D12" s="114" t="s">
        <v>207</v>
      </c>
      <c r="E12" s="70">
        <f>I134*3</f>
        <v>149693671.5</v>
      </c>
      <c r="F12" s="70">
        <f>H134</f>
        <v>598774686</v>
      </c>
      <c r="G12" s="70">
        <f>F12</f>
        <v>598774686</v>
      </c>
      <c r="H12" s="70"/>
      <c r="I12" s="70"/>
      <c r="J12" s="70"/>
      <c r="K12" s="70">
        <f>G12</f>
        <v>598774686</v>
      </c>
      <c r="L12" s="70"/>
      <c r="M12" s="70"/>
      <c r="N12" s="70"/>
      <c r="O12" s="70">
        <f>K12</f>
        <v>598774686</v>
      </c>
      <c r="P12" s="70"/>
      <c r="Q12" s="70"/>
      <c r="R12" s="70"/>
      <c r="S12" s="70">
        <f>O12</f>
        <v>598774686</v>
      </c>
      <c r="T12" s="70"/>
      <c r="U12" s="70"/>
      <c r="V12" s="70"/>
      <c r="W12" s="70">
        <f>S12</f>
        <v>598774686</v>
      </c>
      <c r="X12" s="70"/>
      <c r="Y12" s="70">
        <f t="shared" si="3"/>
        <v>3742341787.5</v>
      </c>
      <c r="Z12" s="67"/>
    </row>
    <row r="13" spans="1:26" s="40" customFormat="1" ht="24.75" customHeight="1" x14ac:dyDescent="0.25">
      <c r="A13" s="102"/>
      <c r="B13" s="64" t="s">
        <v>33</v>
      </c>
      <c r="C13" s="64"/>
      <c r="D13" s="64"/>
      <c r="E13" s="72">
        <f>SUM(E8:E12)</f>
        <v>1959455896.0999999</v>
      </c>
      <c r="F13" s="72">
        <f t="shared" ref="F13:Y13" si="6">SUM(F8:F12)</f>
        <v>12710343817.51111</v>
      </c>
      <c r="G13" s="72">
        <f t="shared" si="6"/>
        <v>12514667742.844444</v>
      </c>
      <c r="H13" s="72">
        <f t="shared" si="6"/>
        <v>11731957546.657778</v>
      </c>
      <c r="I13" s="72">
        <f t="shared" si="6"/>
        <v>11559058167.082312</v>
      </c>
      <c r="J13" s="72">
        <f t="shared" si="6"/>
        <v>11396532750.281372</v>
      </c>
      <c r="K13" s="72">
        <f t="shared" si="6"/>
        <v>11842533544.488489</v>
      </c>
      <c r="L13" s="72">
        <f t="shared" si="6"/>
        <v>11100151400.20318</v>
      </c>
      <c r="M13" s="72">
        <f t="shared" si="6"/>
        <v>10965160389.414989</v>
      </c>
      <c r="N13" s="72">
        <f t="shared" si="6"/>
        <v>10838268839.27409</v>
      </c>
      <c r="O13" s="72">
        <f t="shared" si="6"/>
        <v>11317765468.141645</v>
      </c>
      <c r="P13" s="72">
        <f t="shared" si="6"/>
        <v>10606869408.437147</v>
      </c>
      <c r="Q13" s="72">
        <f t="shared" si="6"/>
        <v>10501475317.154917</v>
      </c>
      <c r="R13" s="72">
        <f t="shared" si="6"/>
        <v>10402404871.349623</v>
      </c>
      <c r="S13" s="72">
        <f t="shared" si="6"/>
        <v>10908053338.292645</v>
      </c>
      <c r="T13" s="72">
        <f t="shared" si="6"/>
        <v>10221740006.379086</v>
      </c>
      <c r="U13" s="72">
        <f t="shared" si="6"/>
        <v>10139453679.220341</v>
      </c>
      <c r="V13" s="72">
        <f t="shared" si="6"/>
        <v>10062104531.69112</v>
      </c>
      <c r="W13" s="72">
        <f t="shared" si="6"/>
        <v>10588171019.013653</v>
      </c>
      <c r="X13" s="72">
        <f t="shared" si="6"/>
        <v>7454295919.8568344</v>
      </c>
      <c r="Y13" s="72">
        <f t="shared" si="6"/>
        <v>208820463653.39481</v>
      </c>
      <c r="Z13" s="67"/>
    </row>
    <row r="14" spans="1:26" s="76" customFormat="1" ht="24.75" customHeight="1" x14ac:dyDescent="0.25">
      <c r="A14" s="103"/>
      <c r="B14" s="73"/>
      <c r="C14" s="73"/>
      <c r="D14" s="73"/>
      <c r="E14" s="73"/>
      <c r="F14" s="74"/>
      <c r="G14" s="75"/>
      <c r="H14" s="74"/>
      <c r="I14" s="74"/>
      <c r="J14" s="74"/>
      <c r="K14" s="74"/>
      <c r="L14" s="74"/>
      <c r="M14" s="74"/>
      <c r="N14" s="74"/>
      <c r="O14" s="74"/>
      <c r="P14" s="74"/>
      <c r="Q14" s="74"/>
      <c r="R14" s="74"/>
      <c r="S14" s="74"/>
      <c r="T14" s="74"/>
      <c r="U14" s="74"/>
      <c r="V14" s="74"/>
      <c r="W14" s="74"/>
      <c r="X14" s="74"/>
      <c r="Y14" s="74"/>
      <c r="Z14" s="74"/>
    </row>
    <row r="16" spans="1:26" s="103" customFormat="1" ht="14.45" customHeight="1" x14ac:dyDescent="0.25">
      <c r="B16" s="717" t="str">
        <f>B8</f>
        <v>6.1  Promoción de la atención de las necesidades básicas de los actores vinculados a la cadena.</v>
      </c>
      <c r="C16" s="718"/>
      <c r="D16" s="718"/>
      <c r="E16" s="718"/>
      <c r="F16" s="718"/>
      <c r="G16" s="718"/>
      <c r="H16" s="718"/>
      <c r="I16" s="111"/>
      <c r="X16" s="78"/>
    </row>
    <row r="17" spans="2:24" s="103" customFormat="1" ht="14.45" customHeight="1" x14ac:dyDescent="0.25">
      <c r="B17" s="719"/>
      <c r="C17" s="719"/>
      <c r="D17" s="719"/>
      <c r="E17" s="719"/>
      <c r="F17" s="719"/>
      <c r="G17" s="719"/>
      <c r="H17" s="719"/>
      <c r="I17" s="111"/>
      <c r="X17" s="78"/>
    </row>
    <row r="18" spans="2:24" ht="15" x14ac:dyDescent="0.25">
      <c r="B18" s="79" t="s">
        <v>79</v>
      </c>
      <c r="C18" s="79" t="s">
        <v>59</v>
      </c>
      <c r="D18" s="79" t="s">
        <v>56</v>
      </c>
      <c r="E18" s="79" t="s">
        <v>55</v>
      </c>
      <c r="F18" s="80" t="s">
        <v>108</v>
      </c>
      <c r="G18" s="79" t="s">
        <v>81</v>
      </c>
      <c r="H18" s="79" t="s">
        <v>82</v>
      </c>
      <c r="X18" s="81"/>
    </row>
    <row r="19" spans="2:24" x14ac:dyDescent="0.2">
      <c r="B19" s="105" t="s">
        <v>83</v>
      </c>
      <c r="C19" s="105">
        <v>15</v>
      </c>
      <c r="D19" s="105" t="s">
        <v>179</v>
      </c>
      <c r="E19" s="82">
        <v>500000</v>
      </c>
      <c r="F19" s="105"/>
      <c r="G19" s="105"/>
      <c r="H19" s="82">
        <f t="shared" ref="H19:H26" si="7">C19*E19</f>
        <v>7500000</v>
      </c>
      <c r="J19" s="385"/>
    </row>
    <row r="20" spans="2:24" x14ac:dyDescent="0.2">
      <c r="B20" s="105" t="s">
        <v>85</v>
      </c>
      <c r="C20" s="105">
        <v>15</v>
      </c>
      <c r="D20" s="105" t="s">
        <v>179</v>
      </c>
      <c r="E20" s="82">
        <v>100000</v>
      </c>
      <c r="F20" s="105"/>
      <c r="G20" s="105"/>
      <c r="H20" s="82">
        <f t="shared" si="7"/>
        <v>1500000</v>
      </c>
      <c r="J20" s="385"/>
    </row>
    <row r="21" spans="2:24" x14ac:dyDescent="0.2">
      <c r="B21" s="105" t="s">
        <v>289</v>
      </c>
      <c r="C21" s="105">
        <f>(39360*50%)/20</f>
        <v>984</v>
      </c>
      <c r="D21" s="105" t="s">
        <v>288</v>
      </c>
      <c r="E21" s="82">
        <v>483000</v>
      </c>
      <c r="F21" s="105"/>
      <c r="G21" s="105"/>
      <c r="H21" s="82">
        <f>C21*E21</f>
        <v>475272000</v>
      </c>
      <c r="J21" s="385"/>
    </row>
    <row r="22" spans="2:24" x14ac:dyDescent="0.2">
      <c r="B22" s="105" t="s">
        <v>171</v>
      </c>
      <c r="C22" s="105">
        <f>10*15</f>
        <v>150</v>
      </c>
      <c r="D22" s="105" t="s">
        <v>76</v>
      </c>
      <c r="E22" s="82">
        <v>6000000</v>
      </c>
      <c r="F22" s="105"/>
      <c r="G22" s="105"/>
      <c r="H22" s="82">
        <f t="shared" si="7"/>
        <v>900000000</v>
      </c>
      <c r="I22" s="101"/>
      <c r="J22" s="385"/>
    </row>
    <row r="23" spans="2:24" x14ac:dyDescent="0.2">
      <c r="B23" s="105" t="s">
        <v>88</v>
      </c>
      <c r="C23" s="105">
        <f>10*15</f>
        <v>150</v>
      </c>
      <c r="D23" s="105" t="s">
        <v>76</v>
      </c>
      <c r="E23" s="82">
        <v>1800000</v>
      </c>
      <c r="F23" s="105"/>
      <c r="G23" s="105"/>
      <c r="H23" s="82">
        <f t="shared" si="7"/>
        <v>270000000</v>
      </c>
      <c r="I23" s="101"/>
      <c r="J23" s="385"/>
    </row>
    <row r="24" spans="2:24" x14ac:dyDescent="0.2">
      <c r="B24" s="105" t="s">
        <v>102</v>
      </c>
      <c r="C24" s="105">
        <f>15*2</f>
        <v>30</v>
      </c>
      <c r="D24" s="105" t="s">
        <v>181</v>
      </c>
      <c r="E24" s="82">
        <v>2300000</v>
      </c>
      <c r="F24" s="105"/>
      <c r="G24" s="105"/>
      <c r="H24" s="82">
        <f t="shared" si="7"/>
        <v>69000000</v>
      </c>
      <c r="J24" s="385"/>
    </row>
    <row r="25" spans="2:24" x14ac:dyDescent="0.2">
      <c r="B25" s="105" t="s">
        <v>103</v>
      </c>
      <c r="C25" s="105">
        <f>15*2</f>
        <v>30</v>
      </c>
      <c r="D25" s="105" t="s">
        <v>181</v>
      </c>
      <c r="E25" s="82">
        <v>460000</v>
      </c>
      <c r="F25" s="105"/>
      <c r="G25" s="105"/>
      <c r="H25" s="82">
        <f t="shared" si="7"/>
        <v>13800000</v>
      </c>
      <c r="J25" s="385"/>
    </row>
    <row r="26" spans="2:24" ht="17.45" customHeight="1" x14ac:dyDescent="0.2">
      <c r="B26" s="105" t="s">
        <v>217</v>
      </c>
      <c r="C26" s="105">
        <f>15*2</f>
        <v>30</v>
      </c>
      <c r="D26" s="105" t="s">
        <v>186</v>
      </c>
      <c r="E26" s="95">
        <v>5000000</v>
      </c>
      <c r="F26" s="105"/>
      <c r="G26" s="105"/>
      <c r="H26" s="82">
        <f t="shared" si="7"/>
        <v>150000000</v>
      </c>
      <c r="J26" s="385"/>
    </row>
    <row r="27" spans="2:24" x14ac:dyDescent="0.2">
      <c r="B27" s="105" t="s">
        <v>182</v>
      </c>
      <c r="C27" s="105">
        <v>2</v>
      </c>
      <c r="D27" s="105" t="s">
        <v>114</v>
      </c>
      <c r="E27" s="82">
        <v>5032173</v>
      </c>
      <c r="F27" s="105"/>
      <c r="G27" s="105">
        <v>4</v>
      </c>
      <c r="H27" s="82">
        <f>C27*E27*G27</f>
        <v>40257384</v>
      </c>
      <c r="I27" s="84"/>
      <c r="J27" s="385"/>
    </row>
    <row r="28" spans="2:24" x14ac:dyDescent="0.2">
      <c r="B28" s="105" t="s">
        <v>188</v>
      </c>
      <c r="C28" s="105">
        <v>7</v>
      </c>
      <c r="D28" s="105" t="s">
        <v>58</v>
      </c>
      <c r="E28" s="82">
        <v>14500000</v>
      </c>
      <c r="F28" s="105"/>
      <c r="G28" s="105"/>
      <c r="H28" s="82">
        <f>C28*E28</f>
        <v>101500000</v>
      </c>
      <c r="I28" s="84"/>
      <c r="J28" s="385"/>
    </row>
    <row r="29" spans="2:24" x14ac:dyDescent="0.2">
      <c r="B29" s="105" t="s">
        <v>183</v>
      </c>
      <c r="C29" s="105">
        <v>7</v>
      </c>
      <c r="D29" s="105" t="s">
        <v>185</v>
      </c>
      <c r="E29" s="95">
        <v>21000000</v>
      </c>
      <c r="F29" s="105"/>
      <c r="G29" s="105"/>
      <c r="H29" s="82">
        <f>C29*E29</f>
        <v>147000000</v>
      </c>
      <c r="J29" s="385"/>
    </row>
    <row r="30" spans="2:24" x14ac:dyDescent="0.2">
      <c r="B30" s="105" t="s">
        <v>184</v>
      </c>
      <c r="C30" s="118">
        <f>(39360*30%)/20</f>
        <v>590.4</v>
      </c>
      <c r="D30" s="105" t="s">
        <v>185</v>
      </c>
      <c r="E30" s="119">
        <v>25000</v>
      </c>
      <c r="F30" s="105"/>
      <c r="G30" s="105">
        <v>6</v>
      </c>
      <c r="H30" s="119">
        <f>C30*E30*G30</f>
        <v>88560000</v>
      </c>
      <c r="J30" s="385"/>
    </row>
    <row r="31" spans="2:24" x14ac:dyDescent="0.2">
      <c r="B31" s="105" t="s">
        <v>198</v>
      </c>
      <c r="C31" s="118">
        <f>(39360*30%)/20</f>
        <v>590.4</v>
      </c>
      <c r="D31" s="105" t="s">
        <v>185</v>
      </c>
      <c r="E31" s="119">
        <v>300000</v>
      </c>
      <c r="F31" s="105"/>
      <c r="G31" s="105"/>
      <c r="H31" s="119">
        <f>C31*E31</f>
        <v>177120000</v>
      </c>
      <c r="J31" s="385"/>
    </row>
    <row r="32" spans="2:24" x14ac:dyDescent="0.2">
      <c r="B32" s="105" t="s">
        <v>199</v>
      </c>
      <c r="C32" s="118">
        <f>(39360*30%)/20</f>
        <v>590.4</v>
      </c>
      <c r="D32" s="105" t="s">
        <v>185</v>
      </c>
      <c r="E32" s="95">
        <v>600000</v>
      </c>
      <c r="F32" s="105"/>
      <c r="G32" s="105"/>
      <c r="H32" s="119">
        <f>C32*E32</f>
        <v>354240000</v>
      </c>
      <c r="J32" s="385"/>
    </row>
    <row r="33" spans="1:10" x14ac:dyDescent="0.2">
      <c r="B33" s="105" t="s">
        <v>189</v>
      </c>
      <c r="C33" s="118">
        <v>7</v>
      </c>
      <c r="D33" s="105" t="s">
        <v>186</v>
      </c>
      <c r="E33" s="95">
        <v>10000000</v>
      </c>
      <c r="F33" s="105"/>
      <c r="G33" s="105"/>
      <c r="H33" s="119">
        <f>C33*E33</f>
        <v>70000000</v>
      </c>
      <c r="J33" s="385"/>
    </row>
    <row r="34" spans="1:10" x14ac:dyDescent="0.2">
      <c r="B34" s="105" t="s">
        <v>188</v>
      </c>
      <c r="C34" s="105">
        <v>7</v>
      </c>
      <c r="D34" s="105" t="s">
        <v>84</v>
      </c>
      <c r="E34" s="95">
        <v>14500000</v>
      </c>
      <c r="F34" s="105"/>
      <c r="G34" s="105"/>
      <c r="H34" s="82">
        <f>C34*E34</f>
        <v>101500000</v>
      </c>
      <c r="J34" s="385"/>
    </row>
    <row r="35" spans="1:10" x14ac:dyDescent="0.2">
      <c r="B35" s="105" t="s">
        <v>90</v>
      </c>
      <c r="C35" s="105">
        <v>2</v>
      </c>
      <c r="D35" s="105" t="s">
        <v>160</v>
      </c>
      <c r="E35" s="82">
        <v>7862772</v>
      </c>
      <c r="F35" s="209"/>
      <c r="G35" s="105">
        <v>10</v>
      </c>
      <c r="H35" s="82">
        <f>C35*E35*G35</f>
        <v>157255440</v>
      </c>
      <c r="I35" s="44"/>
      <c r="J35" s="385"/>
    </row>
    <row r="36" spans="1:10" x14ac:dyDescent="0.2">
      <c r="B36" s="105" t="s">
        <v>173</v>
      </c>
      <c r="C36" s="105">
        <v>7</v>
      </c>
      <c r="D36" s="105" t="s">
        <v>160</v>
      </c>
      <c r="E36" s="82">
        <v>2682805</v>
      </c>
      <c r="F36" s="209"/>
      <c r="G36" s="105">
        <v>8</v>
      </c>
      <c r="H36" s="82">
        <f t="shared" ref="H36:H38" si="8">C36*E36*G36</f>
        <v>150237080</v>
      </c>
      <c r="J36" s="385"/>
    </row>
    <row r="37" spans="1:10" x14ac:dyDescent="0.2">
      <c r="B37" s="105" t="s">
        <v>57</v>
      </c>
      <c r="C37" s="105">
        <v>7</v>
      </c>
      <c r="D37" s="105" t="s">
        <v>160</v>
      </c>
      <c r="E37" s="82">
        <v>1300000</v>
      </c>
      <c r="F37" s="209"/>
      <c r="G37" s="105">
        <v>8</v>
      </c>
      <c r="H37" s="82">
        <f t="shared" si="8"/>
        <v>72800000</v>
      </c>
      <c r="J37" s="388"/>
    </row>
    <row r="38" spans="1:10" x14ac:dyDescent="0.2">
      <c r="B38" s="105" t="s">
        <v>194</v>
      </c>
      <c r="C38" s="105">
        <v>7</v>
      </c>
      <c r="D38" s="105" t="s">
        <v>195</v>
      </c>
      <c r="E38" s="82">
        <v>155000</v>
      </c>
      <c r="F38" s="209"/>
      <c r="G38" s="105">
        <v>8</v>
      </c>
      <c r="H38" s="82">
        <f t="shared" si="8"/>
        <v>8680000</v>
      </c>
      <c r="J38" s="388"/>
    </row>
    <row r="39" spans="1:10" ht="15" x14ac:dyDescent="0.25">
      <c r="B39" s="105" t="s">
        <v>187</v>
      </c>
      <c r="C39" s="105"/>
      <c r="D39" s="105"/>
      <c r="E39" s="105"/>
      <c r="F39" s="105"/>
      <c r="G39" s="105"/>
      <c r="H39" s="82" t="s">
        <v>78</v>
      </c>
      <c r="I39" s="115" t="s">
        <v>174</v>
      </c>
      <c r="J39" s="138"/>
    </row>
    <row r="40" spans="1:10" ht="15" x14ac:dyDescent="0.25">
      <c r="B40" s="86" t="s">
        <v>33</v>
      </c>
      <c r="C40" s="87"/>
      <c r="D40" s="87"/>
      <c r="E40" s="87"/>
      <c r="F40" s="88"/>
      <c r="G40" s="88"/>
      <c r="H40" s="89">
        <f>SUM(H19:H39)</f>
        <v>3356221904</v>
      </c>
      <c r="I40" s="115">
        <f>H40/12</f>
        <v>279685158.66666669</v>
      </c>
      <c r="J40" s="103"/>
    </row>
    <row r="41" spans="1:10" s="103" customFormat="1" ht="408.95" customHeight="1" x14ac:dyDescent="0.2">
      <c r="B41" s="132" t="s">
        <v>436</v>
      </c>
      <c r="C41" s="90"/>
      <c r="D41" s="122"/>
      <c r="E41" s="90"/>
      <c r="F41" s="117"/>
      <c r="G41" s="90"/>
      <c r="H41" s="90"/>
      <c r="I41" s="101"/>
    </row>
    <row r="42" spans="1:10" ht="15" x14ac:dyDescent="0.25">
      <c r="B42" s="110"/>
      <c r="C42" s="110"/>
      <c r="D42" s="110"/>
      <c r="E42" s="110"/>
      <c r="F42" s="110"/>
      <c r="G42" s="110"/>
      <c r="H42" s="110"/>
      <c r="I42" s="91"/>
    </row>
    <row r="43" spans="1:10" s="103" customFormat="1" ht="14.45" customHeight="1" x14ac:dyDescent="0.25">
      <c r="A43" s="92"/>
      <c r="B43" s="717" t="str">
        <f>B9</f>
        <v>6.2. Contribución al incremento del nivel educativo de los actores vinculados a la cadena.</v>
      </c>
      <c r="C43" s="718"/>
      <c r="D43" s="718"/>
      <c r="E43" s="718"/>
      <c r="F43" s="718"/>
      <c r="G43" s="718"/>
      <c r="H43" s="718"/>
    </row>
    <row r="44" spans="1:10" hidden="1" x14ac:dyDescent="0.2">
      <c r="B44" s="110"/>
      <c r="C44" s="110"/>
      <c r="D44" s="110"/>
      <c r="E44" s="110"/>
      <c r="F44" s="110"/>
      <c r="G44" s="110"/>
      <c r="H44" s="110"/>
    </row>
    <row r="45" spans="1:10" ht="15" x14ac:dyDescent="0.25">
      <c r="B45" s="79" t="s">
        <v>79</v>
      </c>
      <c r="C45" s="79" t="s">
        <v>59</v>
      </c>
      <c r="D45" s="79" t="s">
        <v>56</v>
      </c>
      <c r="E45" s="79" t="s">
        <v>55</v>
      </c>
      <c r="F45" s="79" t="s">
        <v>80</v>
      </c>
      <c r="G45" s="79" t="s">
        <v>81</v>
      </c>
      <c r="H45" s="79" t="s">
        <v>82</v>
      </c>
    </row>
    <row r="46" spans="1:10" s="103" customFormat="1" x14ac:dyDescent="0.2">
      <c r="A46" s="93"/>
      <c r="B46" s="120" t="s">
        <v>83</v>
      </c>
      <c r="C46" s="120">
        <v>15</v>
      </c>
      <c r="D46" s="104" t="s">
        <v>84</v>
      </c>
      <c r="E46" s="45">
        <v>500000</v>
      </c>
      <c r="F46" s="104"/>
      <c r="G46" s="104"/>
      <c r="H46" s="82">
        <f>C46*E46</f>
        <v>7500000</v>
      </c>
      <c r="I46" s="44"/>
      <c r="J46" s="138"/>
    </row>
    <row r="47" spans="1:10" s="103" customFormat="1" x14ac:dyDescent="0.2">
      <c r="B47" s="120" t="s">
        <v>85</v>
      </c>
      <c r="C47" s="120">
        <v>15</v>
      </c>
      <c r="D47" s="104" t="s">
        <v>84</v>
      </c>
      <c r="E47" s="45">
        <v>100000</v>
      </c>
      <c r="F47" s="104"/>
      <c r="G47" s="104"/>
      <c r="H47" s="82">
        <f>C47*E47</f>
        <v>1500000</v>
      </c>
      <c r="I47" s="44"/>
      <c r="J47" s="138"/>
    </row>
    <row r="48" spans="1:10" s="103" customFormat="1" x14ac:dyDescent="0.2">
      <c r="B48" s="120" t="s">
        <v>102</v>
      </c>
      <c r="C48" s="120">
        <v>15</v>
      </c>
      <c r="D48" s="104" t="s">
        <v>84</v>
      </c>
      <c r="E48" s="45">
        <v>2300000</v>
      </c>
      <c r="F48" s="104"/>
      <c r="G48" s="104"/>
      <c r="H48" s="82">
        <f t="shared" ref="H48:H49" si="9">C48*E48</f>
        <v>34500000</v>
      </c>
      <c r="I48" s="44"/>
      <c r="J48" s="138"/>
    </row>
    <row r="49" spans="1:10" x14ac:dyDescent="0.2">
      <c r="B49" s="120" t="s">
        <v>103</v>
      </c>
      <c r="C49" s="120">
        <v>15</v>
      </c>
      <c r="D49" s="104" t="s">
        <v>84</v>
      </c>
      <c r="E49" s="45">
        <v>460000</v>
      </c>
      <c r="F49" s="104"/>
      <c r="G49" s="104"/>
      <c r="H49" s="82">
        <f t="shared" si="9"/>
        <v>6900000</v>
      </c>
      <c r="I49" s="101"/>
      <c r="J49" s="138"/>
    </row>
    <row r="50" spans="1:10" x14ac:dyDescent="0.2">
      <c r="B50" s="104" t="s">
        <v>189</v>
      </c>
      <c r="C50" s="120">
        <f>7*100</f>
        <v>700</v>
      </c>
      <c r="D50" s="104" t="s">
        <v>84</v>
      </c>
      <c r="E50" s="109">
        <v>100000</v>
      </c>
      <c r="F50" s="104"/>
      <c r="G50" s="104"/>
      <c r="H50" s="82">
        <f>C50*E50</f>
        <v>70000000</v>
      </c>
      <c r="I50" s="44"/>
      <c r="J50" s="53"/>
    </row>
    <row r="51" spans="1:10" x14ac:dyDescent="0.2">
      <c r="B51" s="104" t="s">
        <v>198</v>
      </c>
      <c r="C51" s="120">
        <f>7*10</f>
        <v>70</v>
      </c>
      <c r="D51" s="104" t="s">
        <v>185</v>
      </c>
      <c r="E51" s="109">
        <v>300000</v>
      </c>
      <c r="F51" s="104"/>
      <c r="G51" s="104"/>
      <c r="H51" s="82">
        <f>C51*E51</f>
        <v>21000000</v>
      </c>
      <c r="I51" s="44"/>
      <c r="J51" s="53"/>
    </row>
    <row r="52" spans="1:10" x14ac:dyDescent="0.2">
      <c r="B52" s="104" t="s">
        <v>199</v>
      </c>
      <c r="C52" s="120">
        <f>7*10</f>
        <v>70</v>
      </c>
      <c r="D52" s="104" t="s">
        <v>185</v>
      </c>
      <c r="E52" s="109">
        <v>600000</v>
      </c>
      <c r="F52" s="104"/>
      <c r="G52" s="104"/>
      <c r="H52" s="82">
        <f>C52*E52</f>
        <v>42000000</v>
      </c>
      <c r="I52" s="44"/>
      <c r="J52" s="53"/>
    </row>
    <row r="53" spans="1:10" x14ac:dyDescent="0.2">
      <c r="B53" s="104" t="s">
        <v>202</v>
      </c>
      <c r="C53" s="120">
        <v>10</v>
      </c>
      <c r="D53" s="104" t="s">
        <v>84</v>
      </c>
      <c r="E53" s="109">
        <v>14500000</v>
      </c>
      <c r="F53" s="104"/>
      <c r="G53" s="104"/>
      <c r="H53" s="82">
        <f>C53*E53</f>
        <v>145000000</v>
      </c>
      <c r="I53" s="44"/>
      <c r="J53" s="53"/>
    </row>
    <row r="54" spans="1:10" x14ac:dyDescent="0.2">
      <c r="B54" s="120" t="s">
        <v>90</v>
      </c>
      <c r="C54" s="120">
        <v>2</v>
      </c>
      <c r="D54" s="104" t="s">
        <v>195</v>
      </c>
      <c r="E54" s="109">
        <v>7862772</v>
      </c>
      <c r="F54" s="94"/>
      <c r="G54" s="104">
        <v>10</v>
      </c>
      <c r="H54" s="82">
        <f>C54*E54*G54</f>
        <v>157255440</v>
      </c>
      <c r="I54" s="44"/>
      <c r="J54" s="53"/>
    </row>
    <row r="55" spans="1:10" x14ac:dyDescent="0.2">
      <c r="B55" s="104" t="s">
        <v>173</v>
      </c>
      <c r="C55" s="104">
        <v>7</v>
      </c>
      <c r="D55" s="104" t="s">
        <v>195</v>
      </c>
      <c r="E55" s="45">
        <v>2516084</v>
      </c>
      <c r="F55" s="98"/>
      <c r="G55" s="104">
        <v>8</v>
      </c>
      <c r="H55" s="82">
        <f t="shared" ref="H55:H57" si="10">C55*E55*G55</f>
        <v>140900704</v>
      </c>
      <c r="I55" s="44"/>
      <c r="J55" s="53"/>
    </row>
    <row r="56" spans="1:10" x14ac:dyDescent="0.2">
      <c r="B56" s="104" t="s">
        <v>57</v>
      </c>
      <c r="C56" s="104">
        <v>7</v>
      </c>
      <c r="D56" s="104" t="s">
        <v>195</v>
      </c>
      <c r="E56" s="45">
        <v>1300000</v>
      </c>
      <c r="F56" s="98"/>
      <c r="G56" s="104">
        <v>8</v>
      </c>
      <c r="H56" s="82">
        <f t="shared" si="10"/>
        <v>72800000</v>
      </c>
      <c r="I56" s="44"/>
      <c r="J56" s="53"/>
    </row>
    <row r="57" spans="1:10" x14ac:dyDescent="0.2">
      <c r="B57" s="104" t="s">
        <v>194</v>
      </c>
      <c r="C57" s="104">
        <v>7</v>
      </c>
      <c r="D57" s="104" t="s">
        <v>196</v>
      </c>
      <c r="E57" s="45">
        <v>155000</v>
      </c>
      <c r="F57" s="98"/>
      <c r="G57" s="104">
        <v>8</v>
      </c>
      <c r="H57" s="82">
        <f t="shared" si="10"/>
        <v>8680000</v>
      </c>
      <c r="I57" s="44"/>
      <c r="J57" s="53"/>
    </row>
    <row r="58" spans="1:10" x14ac:dyDescent="0.2">
      <c r="B58" s="104" t="s">
        <v>197</v>
      </c>
      <c r="C58" s="104"/>
      <c r="D58" s="104"/>
      <c r="E58" s="45"/>
      <c r="F58" s="104"/>
      <c r="G58" s="104"/>
      <c r="H58" s="82" t="s">
        <v>78</v>
      </c>
      <c r="I58" s="44"/>
      <c r="J58" s="53"/>
    </row>
    <row r="59" spans="1:10" x14ac:dyDescent="0.2">
      <c r="B59" s="96" t="s">
        <v>193</v>
      </c>
      <c r="C59" s="104"/>
      <c r="D59" s="104"/>
      <c r="E59" s="109"/>
      <c r="F59" s="97"/>
      <c r="G59" s="104"/>
      <c r="H59" s="82" t="s">
        <v>78</v>
      </c>
      <c r="I59" s="44"/>
      <c r="J59" s="53"/>
    </row>
    <row r="60" spans="1:10" ht="15" x14ac:dyDescent="0.25">
      <c r="B60" s="86" t="s">
        <v>96</v>
      </c>
      <c r="C60" s="87"/>
      <c r="D60" s="87"/>
      <c r="E60" s="88"/>
      <c r="F60" s="88"/>
      <c r="G60" s="87"/>
      <c r="H60" s="99">
        <f>SUM(H46:H59)</f>
        <v>708036144</v>
      </c>
      <c r="I60" s="99">
        <f>H60/12</f>
        <v>59003012</v>
      </c>
      <c r="J60" s="53"/>
    </row>
    <row r="61" spans="1:10" s="103" customFormat="1" ht="260.45" hidden="1" customHeight="1" x14ac:dyDescent="0.2">
      <c r="B61" s="100" t="s">
        <v>97</v>
      </c>
      <c r="C61" s="110"/>
      <c r="D61" s="110"/>
      <c r="E61" s="110"/>
      <c r="F61" s="110"/>
      <c r="G61" s="110"/>
      <c r="H61" s="110"/>
      <c r="J61" s="53"/>
    </row>
    <row r="62" spans="1:10" ht="228.75" customHeight="1" x14ac:dyDescent="0.2">
      <c r="B62" s="132" t="s">
        <v>407</v>
      </c>
      <c r="C62" s="103"/>
      <c r="D62" s="103"/>
      <c r="E62" s="103"/>
      <c r="F62" s="78"/>
      <c r="G62" s="78"/>
      <c r="H62" s="103"/>
      <c r="J62" s="53"/>
    </row>
    <row r="63" spans="1:10" ht="27.95" customHeight="1" x14ac:dyDescent="0.25">
      <c r="B63" s="103"/>
      <c r="C63" s="103"/>
      <c r="D63" s="722"/>
      <c r="E63" s="722"/>
      <c r="F63" s="722"/>
      <c r="G63" s="722"/>
      <c r="H63" s="722"/>
      <c r="J63" s="53"/>
    </row>
    <row r="64" spans="1:10" s="103" customFormat="1" ht="14.45" customHeight="1" x14ac:dyDescent="0.25">
      <c r="A64" s="92"/>
      <c r="B64" s="717" t="str">
        <f>B10</f>
        <v>6.3. Mejora en las capacidades técnicas de los agentes económicos de la cadena</v>
      </c>
      <c r="C64" s="718"/>
      <c r="D64" s="718"/>
      <c r="E64" s="718"/>
      <c r="F64" s="718"/>
      <c r="G64" s="718"/>
      <c r="H64" s="718"/>
    </row>
    <row r="65" spans="1:10" hidden="1" x14ac:dyDescent="0.2">
      <c r="B65" s="110"/>
      <c r="C65" s="110"/>
      <c r="D65" s="110"/>
      <c r="E65" s="110"/>
      <c r="F65" s="110"/>
      <c r="G65" s="110"/>
      <c r="H65" s="110"/>
      <c r="J65" s="103"/>
    </row>
    <row r="66" spans="1:10" ht="15" x14ac:dyDescent="0.25">
      <c r="B66" s="79" t="s">
        <v>79</v>
      </c>
      <c r="C66" s="79" t="s">
        <v>59</v>
      </c>
      <c r="D66" s="79" t="s">
        <v>56</v>
      </c>
      <c r="E66" s="79" t="s">
        <v>55</v>
      </c>
      <c r="F66" s="79" t="s">
        <v>80</v>
      </c>
      <c r="G66" s="79" t="s">
        <v>81</v>
      </c>
      <c r="H66" s="79" t="s">
        <v>82</v>
      </c>
      <c r="J66" s="103"/>
    </row>
    <row r="67" spans="1:10" x14ac:dyDescent="0.2">
      <c r="B67" s="104" t="s">
        <v>219</v>
      </c>
      <c r="C67" s="120">
        <v>2</v>
      </c>
      <c r="D67" s="104" t="s">
        <v>195</v>
      </c>
      <c r="E67" s="109">
        <v>5032173</v>
      </c>
      <c r="F67" s="104"/>
      <c r="G67" s="104">
        <v>4</v>
      </c>
      <c r="H67" s="82">
        <f>C67*E67*G67</f>
        <v>40257384</v>
      </c>
      <c r="I67" s="44"/>
      <c r="J67" s="103"/>
    </row>
    <row r="68" spans="1:10" s="103" customFormat="1" x14ac:dyDescent="0.2">
      <c r="A68" s="93"/>
      <c r="B68" s="120" t="s">
        <v>83</v>
      </c>
      <c r="C68" s="120">
        <v>12</v>
      </c>
      <c r="D68" s="104" t="s">
        <v>84</v>
      </c>
      <c r="E68" s="45">
        <v>500000</v>
      </c>
      <c r="F68" s="104"/>
      <c r="G68" s="104"/>
      <c r="H68" s="82">
        <f>C68*E68</f>
        <v>6000000</v>
      </c>
      <c r="I68" s="44"/>
    </row>
    <row r="69" spans="1:10" s="103" customFormat="1" x14ac:dyDescent="0.2">
      <c r="B69" s="120" t="s">
        <v>85</v>
      </c>
      <c r="C69" s="120">
        <v>12</v>
      </c>
      <c r="D69" s="104" t="s">
        <v>84</v>
      </c>
      <c r="E69" s="45">
        <v>100000</v>
      </c>
      <c r="F69" s="104"/>
      <c r="G69" s="104"/>
      <c r="H69" s="82">
        <f>C69*E69</f>
        <v>1200000</v>
      </c>
      <c r="I69" s="44"/>
    </row>
    <row r="70" spans="1:10" s="103" customFormat="1" x14ac:dyDescent="0.2">
      <c r="B70" s="120" t="s">
        <v>102</v>
      </c>
      <c r="C70" s="120">
        <f>15*4</f>
        <v>60</v>
      </c>
      <c r="D70" s="104" t="s">
        <v>84</v>
      </c>
      <c r="E70" s="45">
        <v>2300000</v>
      </c>
      <c r="F70" s="104"/>
      <c r="G70" s="104">
        <v>4</v>
      </c>
      <c r="H70" s="82">
        <f>C70*E70*G70</f>
        <v>552000000</v>
      </c>
      <c r="I70" s="44"/>
    </row>
    <row r="71" spans="1:10" x14ac:dyDescent="0.2">
      <c r="B71" s="120" t="s">
        <v>103</v>
      </c>
      <c r="C71" s="120">
        <f>15*4</f>
        <v>60</v>
      </c>
      <c r="D71" s="104" t="s">
        <v>84</v>
      </c>
      <c r="E71" s="45">
        <v>460000</v>
      </c>
      <c r="F71" s="104"/>
      <c r="G71" s="104">
        <v>4</v>
      </c>
      <c r="H71" s="82">
        <f>C71*E71*G71</f>
        <v>110400000</v>
      </c>
      <c r="I71" s="101"/>
      <c r="J71" s="103"/>
    </row>
    <row r="72" spans="1:10" x14ac:dyDescent="0.2">
      <c r="B72" s="120" t="s">
        <v>220</v>
      </c>
      <c r="C72" s="120">
        <v>350</v>
      </c>
      <c r="D72" s="104" t="s">
        <v>84</v>
      </c>
      <c r="E72" s="45">
        <v>30000</v>
      </c>
      <c r="F72" s="104"/>
      <c r="G72" s="104"/>
      <c r="H72" s="82">
        <f>C72*E72</f>
        <v>10500000</v>
      </c>
      <c r="I72" s="101"/>
      <c r="J72" s="103"/>
    </row>
    <row r="73" spans="1:10" x14ac:dyDescent="0.2">
      <c r="B73" s="120" t="s">
        <v>87</v>
      </c>
      <c r="C73" s="120">
        <f>15*4</f>
        <v>60</v>
      </c>
      <c r="D73" s="104" t="s">
        <v>76</v>
      </c>
      <c r="E73" s="45">
        <v>6000000</v>
      </c>
      <c r="F73" s="98">
        <v>0.5</v>
      </c>
      <c r="G73" s="104"/>
      <c r="H73" s="82">
        <f t="shared" ref="H73:H78" si="11">C73*E73*F73</f>
        <v>180000000</v>
      </c>
      <c r="I73" s="101"/>
      <c r="J73" s="103"/>
    </row>
    <row r="74" spans="1:10" x14ac:dyDescent="0.2">
      <c r="B74" s="121" t="s">
        <v>88</v>
      </c>
      <c r="C74" s="121">
        <f>15*4</f>
        <v>60</v>
      </c>
      <c r="D74" s="104" t="s">
        <v>76</v>
      </c>
      <c r="E74" s="45">
        <v>1800000</v>
      </c>
      <c r="F74" s="98">
        <v>0.5</v>
      </c>
      <c r="G74" s="104"/>
      <c r="H74" s="82">
        <f t="shared" si="11"/>
        <v>54000000</v>
      </c>
      <c r="I74" s="101"/>
      <c r="J74" s="103"/>
    </row>
    <row r="75" spans="1:10" x14ac:dyDescent="0.2">
      <c r="B75" s="120" t="s">
        <v>178</v>
      </c>
      <c r="C75" s="121">
        <f>15*4</f>
        <v>60</v>
      </c>
      <c r="D75" s="104" t="s">
        <v>158</v>
      </c>
      <c r="E75" s="45">
        <v>1500000</v>
      </c>
      <c r="F75" s="98">
        <v>0.5</v>
      </c>
      <c r="G75" s="104"/>
      <c r="H75" s="82">
        <f t="shared" si="11"/>
        <v>45000000</v>
      </c>
      <c r="I75" s="101"/>
      <c r="J75" s="103"/>
    </row>
    <row r="76" spans="1:10" s="103" customFormat="1" x14ac:dyDescent="0.2">
      <c r="A76" s="93"/>
      <c r="B76" s="120" t="s">
        <v>190</v>
      </c>
      <c r="C76" s="120">
        <f>15*4</f>
        <v>60</v>
      </c>
      <c r="D76" s="104" t="s">
        <v>158</v>
      </c>
      <c r="E76" s="45">
        <v>450000</v>
      </c>
      <c r="F76" s="98">
        <v>0.5</v>
      </c>
      <c r="G76" s="104"/>
      <c r="H76" s="82">
        <f t="shared" si="11"/>
        <v>13500000</v>
      </c>
      <c r="I76" s="84"/>
    </row>
    <row r="77" spans="1:10" s="103" customFormat="1" x14ac:dyDescent="0.2">
      <c r="A77" s="93"/>
      <c r="B77" s="49" t="s">
        <v>191</v>
      </c>
      <c r="C77" s="120">
        <f>15*3</f>
        <v>45</v>
      </c>
      <c r="D77" s="104" t="s">
        <v>158</v>
      </c>
      <c r="E77" s="45">
        <v>3000000</v>
      </c>
      <c r="F77" s="98">
        <v>0.5</v>
      </c>
      <c r="G77" s="104"/>
      <c r="H77" s="82">
        <f t="shared" si="11"/>
        <v>67500000</v>
      </c>
      <c r="I77" s="85"/>
    </row>
    <row r="78" spans="1:10" s="103" customFormat="1" x14ac:dyDescent="0.2">
      <c r="B78" s="49" t="s">
        <v>192</v>
      </c>
      <c r="C78" s="120">
        <f>15*3</f>
        <v>45</v>
      </c>
      <c r="D78" s="103" t="s">
        <v>158</v>
      </c>
      <c r="E78" s="45">
        <v>900000</v>
      </c>
      <c r="F78" s="98">
        <v>0.5</v>
      </c>
      <c r="G78" s="104"/>
      <c r="H78" s="82">
        <f t="shared" si="11"/>
        <v>20250000</v>
      </c>
      <c r="I78" s="84"/>
    </row>
    <row r="79" spans="1:10" x14ac:dyDescent="0.2">
      <c r="B79" s="105" t="s">
        <v>322</v>
      </c>
      <c r="C79" s="118">
        <f>(39360*30%)/20</f>
        <v>590.4</v>
      </c>
      <c r="D79" s="105" t="s">
        <v>180</v>
      </c>
      <c r="E79" s="82">
        <v>1610000</v>
      </c>
      <c r="F79" s="209"/>
      <c r="G79" s="105"/>
      <c r="H79" s="82">
        <f>C79*E79</f>
        <v>950544000</v>
      </c>
      <c r="J79" s="103"/>
    </row>
    <row r="80" spans="1:10" x14ac:dyDescent="0.2">
      <c r="B80" s="104" t="s">
        <v>61</v>
      </c>
      <c r="C80" s="120">
        <v>15</v>
      </c>
      <c r="D80" s="104" t="s">
        <v>84</v>
      </c>
      <c r="E80" s="109">
        <v>14500000</v>
      </c>
      <c r="F80" s="104"/>
      <c r="G80" s="104"/>
      <c r="H80" s="82">
        <f>C80*E80</f>
        <v>217500000</v>
      </c>
      <c r="I80" s="44"/>
      <c r="J80" s="103"/>
    </row>
    <row r="81" spans="1:28" x14ac:dyDescent="0.2">
      <c r="B81" s="120" t="s">
        <v>90</v>
      </c>
      <c r="C81" s="120">
        <v>2</v>
      </c>
      <c r="D81" s="104" t="s">
        <v>160</v>
      </c>
      <c r="E81" s="109">
        <v>5661197</v>
      </c>
      <c r="F81" s="94"/>
      <c r="G81" s="104">
        <v>10</v>
      </c>
      <c r="H81" s="82">
        <f t="shared" ref="H81:H84" si="12">C81*E81</f>
        <v>11322394</v>
      </c>
      <c r="I81" s="44"/>
      <c r="J81" s="103"/>
    </row>
    <row r="82" spans="1:28" x14ac:dyDescent="0.2">
      <c r="B82" s="104" t="s">
        <v>173</v>
      </c>
      <c r="C82" s="104">
        <v>7</v>
      </c>
      <c r="D82" s="104" t="s">
        <v>195</v>
      </c>
      <c r="E82" s="45">
        <v>3931384</v>
      </c>
      <c r="F82" s="98"/>
      <c r="G82" s="104">
        <v>10</v>
      </c>
      <c r="H82" s="82">
        <f t="shared" si="12"/>
        <v>27519688</v>
      </c>
      <c r="I82" s="44"/>
      <c r="J82" s="103"/>
    </row>
    <row r="83" spans="1:28" x14ac:dyDescent="0.2">
      <c r="B83" s="104" t="s">
        <v>57</v>
      </c>
      <c r="C83" s="104">
        <v>7</v>
      </c>
      <c r="D83" s="104" t="s">
        <v>160</v>
      </c>
      <c r="E83" s="45">
        <v>1300000</v>
      </c>
      <c r="F83" s="98"/>
      <c r="G83" s="104">
        <v>10</v>
      </c>
      <c r="H83" s="82">
        <f t="shared" si="12"/>
        <v>9100000</v>
      </c>
      <c r="I83" s="44"/>
      <c r="J83" s="103"/>
    </row>
    <row r="84" spans="1:28" x14ac:dyDescent="0.2">
      <c r="B84" s="104" t="s">
        <v>194</v>
      </c>
      <c r="C84" s="104">
        <v>7</v>
      </c>
      <c r="D84" s="104" t="s">
        <v>196</v>
      </c>
      <c r="E84" s="45">
        <v>385000</v>
      </c>
      <c r="F84" s="98"/>
      <c r="G84" s="104">
        <v>10</v>
      </c>
      <c r="H84" s="82">
        <f t="shared" si="12"/>
        <v>2695000</v>
      </c>
      <c r="I84" s="44"/>
      <c r="J84" s="103"/>
    </row>
    <row r="85" spans="1:28" x14ac:dyDescent="0.2">
      <c r="B85" s="104" t="s">
        <v>204</v>
      </c>
      <c r="C85" s="104"/>
      <c r="D85" s="104"/>
      <c r="E85" s="45"/>
      <c r="F85" s="104"/>
      <c r="G85" s="104"/>
      <c r="H85" s="82" t="s">
        <v>78</v>
      </c>
      <c r="I85" s="44"/>
    </row>
    <row r="86" spans="1:28" ht="15" x14ac:dyDescent="0.25">
      <c r="B86" s="96" t="s">
        <v>203</v>
      </c>
      <c r="C86" s="104"/>
      <c r="D86" s="104"/>
      <c r="E86" s="109"/>
      <c r="F86" s="97"/>
      <c r="G86" s="104"/>
      <c r="H86" s="82"/>
      <c r="I86" s="99" t="s">
        <v>174</v>
      </c>
    </row>
    <row r="87" spans="1:28" ht="15" x14ac:dyDescent="0.25">
      <c r="B87" s="86" t="s">
        <v>325</v>
      </c>
      <c r="C87" s="87"/>
      <c r="D87" s="87"/>
      <c r="E87" s="88"/>
      <c r="F87" s="88"/>
      <c r="G87" s="87"/>
      <c r="H87" s="99">
        <f>SUM(H67:H86)</f>
        <v>2319288466</v>
      </c>
      <c r="I87" s="99">
        <f>H87/12</f>
        <v>193274038.83333334</v>
      </c>
    </row>
    <row r="88" spans="1:28" s="103" customFormat="1" ht="260.45" hidden="1" customHeight="1" x14ac:dyDescent="0.2">
      <c r="B88" s="100" t="s">
        <v>97</v>
      </c>
      <c r="C88" s="110"/>
      <c r="D88" s="110"/>
      <c r="E88" s="110"/>
      <c r="F88" s="110"/>
      <c r="G88" s="110"/>
      <c r="H88" s="110"/>
      <c r="J88" s="102"/>
      <c r="AB88" s="102"/>
    </row>
    <row r="89" spans="1:28" s="103" customFormat="1" ht="15" x14ac:dyDescent="0.25">
      <c r="B89" s="100"/>
      <c r="H89" s="79">
        <v>1</v>
      </c>
      <c r="I89" s="215">
        <v>2</v>
      </c>
      <c r="J89" s="79">
        <v>3</v>
      </c>
      <c r="K89" s="215">
        <v>4</v>
      </c>
      <c r="L89" s="79">
        <v>5</v>
      </c>
      <c r="M89" s="215">
        <v>6</v>
      </c>
      <c r="N89" s="79">
        <v>7</v>
      </c>
      <c r="O89" s="215">
        <v>8</v>
      </c>
      <c r="P89" s="79">
        <v>9</v>
      </c>
      <c r="Q89" s="215">
        <v>10</v>
      </c>
      <c r="R89" s="79">
        <v>11</v>
      </c>
      <c r="S89" s="215">
        <v>12</v>
      </c>
      <c r="T89" s="79">
        <v>13</v>
      </c>
      <c r="U89" s="215">
        <v>14</v>
      </c>
      <c r="V89" s="79">
        <v>15</v>
      </c>
      <c r="W89" s="215">
        <v>16</v>
      </c>
      <c r="X89" s="79">
        <v>17</v>
      </c>
      <c r="Y89" s="215">
        <v>18</v>
      </c>
      <c r="Z89" s="79">
        <v>19</v>
      </c>
      <c r="AA89" s="215">
        <v>20</v>
      </c>
      <c r="AB89" s="102"/>
    </row>
    <row r="90" spans="1:28" s="50" customFormat="1" ht="15" x14ac:dyDescent="0.25">
      <c r="B90" s="139" t="s">
        <v>324</v>
      </c>
      <c r="C90" s="103"/>
      <c r="D90" s="103"/>
      <c r="E90" s="103"/>
      <c r="F90" s="103"/>
      <c r="G90" s="103"/>
      <c r="I90" s="214">
        <v>3261267911.1111112</v>
      </c>
      <c r="J90" s="214">
        <v>3065591836.4444442</v>
      </c>
      <c r="K90" s="214">
        <v>2881656326.2577777</v>
      </c>
      <c r="L90" s="214">
        <v>2708756946.6823111</v>
      </c>
      <c r="M90" s="214">
        <v>2546231529.881372</v>
      </c>
      <c r="N90" s="214">
        <v>2393457638.0884895</v>
      </c>
      <c r="O90" s="214">
        <v>2249850179.8031807</v>
      </c>
      <c r="P90" s="214">
        <v>2114859169.0149899</v>
      </c>
      <c r="Q90" s="214">
        <v>1987967618.8740902</v>
      </c>
      <c r="R90" s="214">
        <v>1868689561.7416451</v>
      </c>
      <c r="S90" s="214">
        <v>1756568188.0371463</v>
      </c>
      <c r="T90" s="214">
        <v>1651174096.7549176</v>
      </c>
      <c r="U90" s="214">
        <v>1552103650.9496226</v>
      </c>
      <c r="V90" s="214">
        <v>1458977431.8926454</v>
      </c>
      <c r="W90" s="214">
        <v>1371438785.9790864</v>
      </c>
      <c r="X90" s="214">
        <v>1289152458.8203416</v>
      </c>
      <c r="Y90" s="214">
        <v>1211803311.291121</v>
      </c>
      <c r="Z90" s="214">
        <v>1139095112.6136537</v>
      </c>
      <c r="AA90" s="214">
        <v>1070749405.8568345</v>
      </c>
      <c r="AB90" s="102"/>
    </row>
    <row r="91" spans="1:28" s="103" customFormat="1" ht="15" x14ac:dyDescent="0.25">
      <c r="B91" s="139" t="s">
        <v>323</v>
      </c>
      <c r="I91" s="213">
        <f t="shared" ref="I91:AA91" si="13">I90+$H$87</f>
        <v>5580556377.1111107</v>
      </c>
      <c r="J91" s="213">
        <f t="shared" si="13"/>
        <v>5384880302.4444447</v>
      </c>
      <c r="K91" s="213">
        <f t="shared" si="13"/>
        <v>5200944792.2577782</v>
      </c>
      <c r="L91" s="213">
        <f t="shared" si="13"/>
        <v>5028045412.6823111</v>
      </c>
      <c r="M91" s="213">
        <f t="shared" si="13"/>
        <v>4865519995.8813725</v>
      </c>
      <c r="N91" s="213">
        <f t="shared" si="13"/>
        <v>4712746104.0884895</v>
      </c>
      <c r="O91" s="213">
        <f t="shared" si="13"/>
        <v>4569138645.8031807</v>
      </c>
      <c r="P91" s="213">
        <f t="shared" si="13"/>
        <v>4434147635.0149899</v>
      </c>
      <c r="Q91" s="213">
        <f t="shared" si="13"/>
        <v>4307256084.8740902</v>
      </c>
      <c r="R91" s="213">
        <f t="shared" si="13"/>
        <v>4187978027.7416449</v>
      </c>
      <c r="S91" s="213">
        <f t="shared" si="13"/>
        <v>4075856654.0371466</v>
      </c>
      <c r="T91" s="213">
        <f t="shared" si="13"/>
        <v>3970462562.7549176</v>
      </c>
      <c r="U91" s="213">
        <f t="shared" si="13"/>
        <v>3871392116.9496226</v>
      </c>
      <c r="V91" s="213">
        <f t="shared" si="13"/>
        <v>3778265897.8926454</v>
      </c>
      <c r="W91" s="213">
        <f t="shared" si="13"/>
        <v>3690727251.9790864</v>
      </c>
      <c r="X91" s="213">
        <f t="shared" si="13"/>
        <v>3608440924.8203416</v>
      </c>
      <c r="Y91" s="213">
        <f t="shared" si="13"/>
        <v>3531091777.291121</v>
      </c>
      <c r="Z91" s="213">
        <f t="shared" si="13"/>
        <v>3458383578.6136537</v>
      </c>
      <c r="AA91" s="213">
        <f t="shared" si="13"/>
        <v>3390037871.8568344</v>
      </c>
      <c r="AB91" s="102"/>
    </row>
    <row r="92" spans="1:28" s="136" customFormat="1" x14ac:dyDescent="0.2">
      <c r="B92" s="210"/>
      <c r="H92" s="211"/>
      <c r="I92" s="211"/>
      <c r="J92" s="211"/>
      <c r="K92" s="211"/>
      <c r="L92" s="211"/>
      <c r="M92" s="211"/>
      <c r="N92" s="211"/>
      <c r="O92" s="211"/>
      <c r="P92" s="211"/>
      <c r="Q92" s="211"/>
      <c r="R92" s="211"/>
      <c r="S92" s="211"/>
      <c r="T92" s="211"/>
      <c r="U92" s="211"/>
      <c r="V92" s="211"/>
      <c r="W92" s="211"/>
      <c r="X92" s="211"/>
      <c r="Y92" s="211"/>
      <c r="Z92" s="211"/>
      <c r="AA92" s="211"/>
      <c r="AB92" s="107"/>
    </row>
    <row r="93" spans="1:28" ht="266.45" customHeight="1" x14ac:dyDescent="0.2">
      <c r="A93" s="107"/>
      <c r="B93" s="338" t="s">
        <v>432</v>
      </c>
      <c r="C93" s="103"/>
      <c r="D93" s="103"/>
      <c r="E93" s="103"/>
      <c r="F93" s="78"/>
      <c r="G93" s="78"/>
      <c r="H93" s="138"/>
      <c r="I93" s="53"/>
      <c r="J93" s="53"/>
      <c r="K93" s="53"/>
      <c r="L93" s="53"/>
      <c r="M93" s="53"/>
      <c r="N93" s="53"/>
      <c r="O93" s="53"/>
      <c r="P93" s="53"/>
      <c r="Q93" s="53"/>
      <c r="R93" s="53"/>
      <c r="S93" s="53"/>
      <c r="T93" s="53"/>
      <c r="U93" s="53"/>
      <c r="V93" s="53"/>
      <c r="W93" s="53"/>
      <c r="X93" s="53"/>
      <c r="Y93" s="53"/>
      <c r="Z93" s="53"/>
      <c r="AA93" s="53"/>
    </row>
    <row r="95" spans="1:28" s="103" customFormat="1" ht="14.45" customHeight="1" x14ac:dyDescent="0.25">
      <c r="A95" s="92"/>
      <c r="B95" s="717" t="str">
        <f>B11</f>
        <v>6.4. Promoción de la generación del empleo formal y la mejora de las condiciones laborales a lo largo de la cadena.</v>
      </c>
      <c r="C95" s="718"/>
      <c r="D95" s="718"/>
      <c r="E95" s="718"/>
      <c r="F95" s="718"/>
      <c r="G95" s="718"/>
      <c r="H95" s="718"/>
    </row>
    <row r="96" spans="1:28" hidden="1" x14ac:dyDescent="0.2">
      <c r="B96" s="110"/>
      <c r="C96" s="110"/>
      <c r="D96" s="110"/>
      <c r="E96" s="110"/>
      <c r="F96" s="110"/>
      <c r="G96" s="110"/>
      <c r="H96" s="110"/>
    </row>
    <row r="97" spans="1:10" ht="15" x14ac:dyDescent="0.25">
      <c r="B97" s="79" t="s">
        <v>79</v>
      </c>
      <c r="C97" s="79" t="s">
        <v>59</v>
      </c>
      <c r="D97" s="79" t="s">
        <v>56</v>
      </c>
      <c r="E97" s="79" t="s">
        <v>55</v>
      </c>
      <c r="F97" s="79" t="s">
        <v>80</v>
      </c>
      <c r="G97" s="79" t="s">
        <v>81</v>
      </c>
      <c r="H97" s="79" t="s">
        <v>82</v>
      </c>
    </row>
    <row r="98" spans="1:10" x14ac:dyDescent="0.2">
      <c r="B98" s="124" t="s">
        <v>83</v>
      </c>
      <c r="C98" s="124">
        <v>12</v>
      </c>
      <c r="D98" s="124" t="s">
        <v>84</v>
      </c>
      <c r="E98" s="51">
        <v>500000</v>
      </c>
      <c r="F98" s="124"/>
      <c r="G98" s="124"/>
      <c r="H98" s="51">
        <f t="shared" ref="H98:H105" si="14">C98*E98</f>
        <v>6000000</v>
      </c>
      <c r="I98" s="44"/>
      <c r="J98" s="53"/>
    </row>
    <row r="99" spans="1:10" s="103" customFormat="1" x14ac:dyDescent="0.2">
      <c r="A99" s="93"/>
      <c r="B99" s="124" t="s">
        <v>85</v>
      </c>
      <c r="C99" s="124">
        <v>12</v>
      </c>
      <c r="D99" s="124" t="s">
        <v>84</v>
      </c>
      <c r="E99" s="51">
        <v>100000</v>
      </c>
      <c r="F99" s="124"/>
      <c r="G99" s="124"/>
      <c r="H99" s="51">
        <f t="shared" si="14"/>
        <v>1200000</v>
      </c>
      <c r="I99" s="44"/>
      <c r="J99" s="138"/>
    </row>
    <row r="100" spans="1:10" s="103" customFormat="1" x14ac:dyDescent="0.2">
      <c r="B100" s="124" t="s">
        <v>102</v>
      </c>
      <c r="C100" s="124">
        <v>15</v>
      </c>
      <c r="D100" s="124" t="s">
        <v>84</v>
      </c>
      <c r="E100" s="51">
        <v>2300000</v>
      </c>
      <c r="F100" s="124"/>
      <c r="G100" s="124"/>
      <c r="H100" s="51">
        <f t="shared" si="14"/>
        <v>34500000</v>
      </c>
      <c r="I100" s="44"/>
      <c r="J100" s="138"/>
    </row>
    <row r="101" spans="1:10" s="103" customFormat="1" x14ac:dyDescent="0.2">
      <c r="B101" s="124" t="s">
        <v>162</v>
      </c>
      <c r="C101" s="124">
        <v>15</v>
      </c>
      <c r="D101" s="124" t="s">
        <v>84</v>
      </c>
      <c r="E101" s="51">
        <v>460000</v>
      </c>
      <c r="F101" s="124"/>
      <c r="G101" s="124"/>
      <c r="H101" s="51">
        <f t="shared" si="14"/>
        <v>6900000</v>
      </c>
      <c r="I101" s="44"/>
      <c r="J101" s="138"/>
    </row>
    <row r="102" spans="1:10" x14ac:dyDescent="0.2">
      <c r="B102" s="124" t="s">
        <v>115</v>
      </c>
      <c r="C102" s="124">
        <v>7</v>
      </c>
      <c r="D102" s="124" t="s">
        <v>84</v>
      </c>
      <c r="E102" s="51">
        <v>142800000</v>
      </c>
      <c r="F102" s="124"/>
      <c r="G102" s="124"/>
      <c r="H102" s="51">
        <f t="shared" si="14"/>
        <v>999600000</v>
      </c>
      <c r="I102" s="101"/>
      <c r="J102" s="138"/>
    </row>
    <row r="103" spans="1:10" x14ac:dyDescent="0.2">
      <c r="B103" s="124" t="s">
        <v>189</v>
      </c>
      <c r="C103" s="124">
        <v>7</v>
      </c>
      <c r="D103" s="124" t="s">
        <v>84</v>
      </c>
      <c r="E103" s="51">
        <v>7000000</v>
      </c>
      <c r="F103" s="124"/>
      <c r="G103" s="124"/>
      <c r="H103" s="51">
        <f t="shared" si="14"/>
        <v>49000000</v>
      </c>
      <c r="I103" s="101"/>
      <c r="J103" s="138"/>
    </row>
    <row r="104" spans="1:10" x14ac:dyDescent="0.2">
      <c r="B104" s="120" t="s">
        <v>87</v>
      </c>
      <c r="C104" s="120">
        <v>15</v>
      </c>
      <c r="D104" s="104" t="s">
        <v>76</v>
      </c>
      <c r="E104" s="45">
        <v>6000000</v>
      </c>
      <c r="F104" s="98"/>
      <c r="G104" s="104"/>
      <c r="H104" s="82">
        <f t="shared" si="14"/>
        <v>90000000</v>
      </c>
      <c r="I104" s="101"/>
      <c r="J104" s="138"/>
    </row>
    <row r="105" spans="1:10" x14ac:dyDescent="0.2">
      <c r="B105" s="121" t="s">
        <v>88</v>
      </c>
      <c r="C105" s="121">
        <v>15</v>
      </c>
      <c r="D105" s="104" t="s">
        <v>76</v>
      </c>
      <c r="E105" s="45">
        <v>1800000</v>
      </c>
      <c r="F105" s="98"/>
      <c r="G105" s="104"/>
      <c r="H105" s="82">
        <f t="shared" si="14"/>
        <v>27000000</v>
      </c>
      <c r="I105" s="101"/>
      <c r="J105" s="138"/>
    </row>
    <row r="106" spans="1:10" x14ac:dyDescent="0.2">
      <c r="B106" s="120" t="s">
        <v>178</v>
      </c>
      <c r="C106" s="121">
        <v>15</v>
      </c>
      <c r="D106" s="104" t="s">
        <v>158</v>
      </c>
      <c r="E106" s="45">
        <v>1500000</v>
      </c>
      <c r="F106" s="98"/>
      <c r="G106" s="104"/>
      <c r="H106" s="82">
        <f>C105*E105</f>
        <v>27000000</v>
      </c>
      <c r="I106" s="101"/>
      <c r="J106" s="138"/>
    </row>
    <row r="107" spans="1:10" s="103" customFormat="1" x14ac:dyDescent="0.2">
      <c r="A107" s="93"/>
      <c r="B107" s="120" t="s">
        <v>190</v>
      </c>
      <c r="C107" s="120">
        <v>15</v>
      </c>
      <c r="D107" s="104" t="s">
        <v>158</v>
      </c>
      <c r="E107" s="45">
        <v>450000</v>
      </c>
      <c r="F107" s="98"/>
      <c r="G107" s="104"/>
      <c r="H107" s="82">
        <f>C107*E107</f>
        <v>6750000</v>
      </c>
      <c r="I107" s="84"/>
      <c r="J107" s="138"/>
    </row>
    <row r="108" spans="1:10" x14ac:dyDescent="0.2">
      <c r="B108" s="125" t="s">
        <v>205</v>
      </c>
      <c r="C108" s="126">
        <f>7*10</f>
        <v>70</v>
      </c>
      <c r="D108" s="126" t="s">
        <v>84</v>
      </c>
      <c r="E108" s="127">
        <v>1610000</v>
      </c>
      <c r="F108" s="126"/>
      <c r="G108" s="126"/>
      <c r="H108" s="127">
        <f>C108*E108</f>
        <v>112700000</v>
      </c>
      <c r="I108" s="101"/>
      <c r="J108" s="138"/>
    </row>
    <row r="109" spans="1:10" x14ac:dyDescent="0.2">
      <c r="B109" s="124" t="s">
        <v>206</v>
      </c>
      <c r="C109" s="124">
        <f>7*10</f>
        <v>70</v>
      </c>
      <c r="D109" s="124" t="s">
        <v>84</v>
      </c>
      <c r="E109" s="51">
        <v>8954882.5200000014</v>
      </c>
      <c r="F109" s="124"/>
      <c r="G109" s="124"/>
      <c r="H109" s="51">
        <f>C109*E109</f>
        <v>626841776.4000001</v>
      </c>
      <c r="I109" s="101"/>
      <c r="J109" s="138"/>
    </row>
    <row r="110" spans="1:10" x14ac:dyDescent="0.2">
      <c r="B110" s="124" t="s">
        <v>230</v>
      </c>
      <c r="C110" s="124">
        <v>2</v>
      </c>
      <c r="D110" s="124" t="s">
        <v>84</v>
      </c>
      <c r="E110" s="51">
        <v>7862772</v>
      </c>
      <c r="F110" s="128"/>
      <c r="G110" s="124">
        <v>10</v>
      </c>
      <c r="H110" s="129">
        <f>C110*E110*G110</f>
        <v>157255440</v>
      </c>
      <c r="I110" s="101"/>
      <c r="J110" s="138"/>
    </row>
    <row r="111" spans="1:10" x14ac:dyDescent="0.2">
      <c r="B111" s="104" t="s">
        <v>173</v>
      </c>
      <c r="C111" s="104">
        <v>7</v>
      </c>
      <c r="D111" s="104" t="s">
        <v>195</v>
      </c>
      <c r="E111" s="45">
        <v>3145107</v>
      </c>
      <c r="F111" s="98"/>
      <c r="G111" s="104">
        <v>10</v>
      </c>
      <c r="H111" s="129">
        <f t="shared" ref="H111:H113" si="15">C111*E111*G111</f>
        <v>220157490</v>
      </c>
      <c r="I111" s="44"/>
      <c r="J111" s="53"/>
    </row>
    <row r="112" spans="1:10" x14ac:dyDescent="0.2">
      <c r="B112" s="104" t="s">
        <v>57</v>
      </c>
      <c r="C112" s="104">
        <v>7</v>
      </c>
      <c r="D112" s="104" t="s">
        <v>160</v>
      </c>
      <c r="E112" s="45">
        <v>1300000</v>
      </c>
      <c r="F112" s="98"/>
      <c r="G112" s="104">
        <v>10</v>
      </c>
      <c r="H112" s="129">
        <f t="shared" si="15"/>
        <v>91000000</v>
      </c>
      <c r="I112" s="44"/>
      <c r="J112" s="53"/>
    </row>
    <row r="113" spans="1:10" x14ac:dyDescent="0.2">
      <c r="B113" s="104" t="s">
        <v>194</v>
      </c>
      <c r="C113" s="104">
        <v>7</v>
      </c>
      <c r="D113" s="104" t="s">
        <v>196</v>
      </c>
      <c r="E113" s="45">
        <v>155000</v>
      </c>
      <c r="F113" s="98"/>
      <c r="G113" s="104">
        <v>10</v>
      </c>
      <c r="H113" s="129">
        <f t="shared" si="15"/>
        <v>10850000</v>
      </c>
      <c r="I113" s="44"/>
      <c r="J113" s="53"/>
    </row>
    <row r="114" spans="1:10" x14ac:dyDescent="0.2">
      <c r="B114" s="130" t="s">
        <v>187</v>
      </c>
      <c r="C114" s="130"/>
      <c r="D114" s="130"/>
      <c r="E114" s="52"/>
      <c r="F114" s="130"/>
      <c r="G114" s="130"/>
      <c r="H114" s="51" t="s">
        <v>78</v>
      </c>
      <c r="I114" s="44"/>
      <c r="J114" s="53"/>
    </row>
    <row r="115" spans="1:10" ht="15" x14ac:dyDescent="0.25">
      <c r="B115" s="86" t="s">
        <v>96</v>
      </c>
      <c r="C115" s="87"/>
      <c r="D115" s="87"/>
      <c r="E115" s="88"/>
      <c r="F115" s="88"/>
      <c r="G115" s="87"/>
      <c r="H115" s="99">
        <f>SUM(H98:H114)</f>
        <v>2466754706.4000001</v>
      </c>
      <c r="I115" s="99">
        <f>H115/12</f>
        <v>205562892.20000002</v>
      </c>
    </row>
    <row r="116" spans="1:10" s="103" customFormat="1" ht="260.45" hidden="1" customHeight="1" x14ac:dyDescent="0.2">
      <c r="B116" s="100" t="s">
        <v>97</v>
      </c>
      <c r="C116" s="110"/>
      <c r="D116" s="110"/>
      <c r="E116" s="110"/>
      <c r="F116" s="110"/>
      <c r="G116" s="110"/>
      <c r="H116" s="110"/>
      <c r="J116" s="102"/>
    </row>
    <row r="117" spans="1:10" ht="235.5" customHeight="1" x14ac:dyDescent="0.2">
      <c r="B117" s="337" t="s">
        <v>433</v>
      </c>
      <c r="C117" s="103"/>
      <c r="D117" s="103"/>
      <c r="E117" s="103"/>
      <c r="F117" s="78"/>
      <c r="G117" s="78"/>
      <c r="H117" s="103"/>
    </row>
    <row r="118" spans="1:10" x14ac:dyDescent="0.2">
      <c r="B118" s="212"/>
      <c r="C118" s="103"/>
      <c r="D118" s="103"/>
      <c r="E118" s="103"/>
      <c r="F118" s="78"/>
      <c r="G118" s="78"/>
      <c r="H118" s="103"/>
    </row>
    <row r="119" spans="1:10" x14ac:dyDescent="0.2">
      <c r="B119" s="212"/>
      <c r="C119" s="103"/>
      <c r="D119" s="103"/>
      <c r="E119" s="103"/>
      <c r="F119" s="78"/>
      <c r="G119" s="78"/>
      <c r="H119" s="103"/>
    </row>
    <row r="120" spans="1:10" s="103" customFormat="1" ht="14.45" customHeight="1" x14ac:dyDescent="0.25">
      <c r="A120" s="92"/>
      <c r="B120" s="717" t="str">
        <f>B12</f>
        <v>6.5. Contribución a la mejora de condiciones de conectividad vial y de servicios públicos, en las regiones maiceras.</v>
      </c>
      <c r="C120" s="718"/>
      <c r="D120" s="718"/>
      <c r="E120" s="718"/>
      <c r="F120" s="718"/>
      <c r="G120" s="718"/>
      <c r="H120" s="718"/>
    </row>
    <row r="121" spans="1:10" hidden="1" x14ac:dyDescent="0.2">
      <c r="B121" s="220"/>
      <c r="C121" s="220"/>
      <c r="D121" s="220"/>
      <c r="E121" s="220"/>
      <c r="F121" s="220"/>
      <c r="G121" s="220"/>
      <c r="H121" s="220"/>
    </row>
    <row r="122" spans="1:10" ht="15" x14ac:dyDescent="0.25">
      <c r="B122" s="79" t="s">
        <v>79</v>
      </c>
      <c r="C122" s="79" t="s">
        <v>59</v>
      </c>
      <c r="D122" s="79" t="s">
        <v>56</v>
      </c>
      <c r="E122" s="79" t="s">
        <v>55</v>
      </c>
      <c r="F122" s="79" t="s">
        <v>80</v>
      </c>
      <c r="G122" s="79" t="s">
        <v>81</v>
      </c>
      <c r="H122" s="79" t="s">
        <v>82</v>
      </c>
    </row>
    <row r="123" spans="1:10" x14ac:dyDescent="0.2">
      <c r="B123" s="124" t="s">
        <v>83</v>
      </c>
      <c r="C123" s="124">
        <v>12</v>
      </c>
      <c r="D123" s="124" t="s">
        <v>84</v>
      </c>
      <c r="E123" s="51">
        <v>500000</v>
      </c>
      <c r="F123" s="124"/>
      <c r="G123" s="124"/>
      <c r="H123" s="51">
        <f t="shared" ref="H123:H126" si="16">C123*E123</f>
        <v>6000000</v>
      </c>
      <c r="I123" s="44"/>
      <c r="J123" s="53"/>
    </row>
    <row r="124" spans="1:10" s="103" customFormat="1" x14ac:dyDescent="0.2">
      <c r="A124" s="93"/>
      <c r="B124" s="124" t="s">
        <v>85</v>
      </c>
      <c r="C124" s="124">
        <v>12</v>
      </c>
      <c r="D124" s="124" t="s">
        <v>84</v>
      </c>
      <c r="E124" s="51">
        <v>100000</v>
      </c>
      <c r="F124" s="124"/>
      <c r="G124" s="124"/>
      <c r="H124" s="51">
        <f t="shared" si="16"/>
        <v>1200000</v>
      </c>
      <c r="I124" s="44"/>
      <c r="J124" s="138"/>
    </row>
    <row r="125" spans="1:10" s="103" customFormat="1" x14ac:dyDescent="0.2">
      <c r="B125" s="124" t="s">
        <v>102</v>
      </c>
      <c r="C125" s="124">
        <f>7*2</f>
        <v>14</v>
      </c>
      <c r="D125" s="124" t="s">
        <v>84</v>
      </c>
      <c r="E125" s="51">
        <v>2300000</v>
      </c>
      <c r="F125" s="124"/>
      <c r="G125" s="124"/>
      <c r="H125" s="51">
        <f t="shared" si="16"/>
        <v>32200000</v>
      </c>
      <c r="I125" s="44"/>
      <c r="J125" s="138"/>
    </row>
    <row r="126" spans="1:10" s="103" customFormat="1" x14ac:dyDescent="0.2">
      <c r="B126" s="124" t="s">
        <v>162</v>
      </c>
      <c r="C126" s="124">
        <f>7*2</f>
        <v>14</v>
      </c>
      <c r="D126" s="124" t="s">
        <v>84</v>
      </c>
      <c r="E126" s="51">
        <v>460000</v>
      </c>
      <c r="F126" s="124"/>
      <c r="G126" s="124"/>
      <c r="H126" s="51">
        <f t="shared" si="16"/>
        <v>6440000</v>
      </c>
      <c r="I126" s="44"/>
      <c r="J126" s="138"/>
    </row>
    <row r="127" spans="1:10" s="103" customFormat="1" x14ac:dyDescent="0.2">
      <c r="B127" s="124" t="s">
        <v>434</v>
      </c>
      <c r="C127" s="124">
        <v>1</v>
      </c>
      <c r="D127" s="124" t="s">
        <v>84</v>
      </c>
      <c r="E127" s="51">
        <v>10850628</v>
      </c>
      <c r="F127" s="124"/>
      <c r="G127" s="124">
        <v>5</v>
      </c>
      <c r="H127" s="51">
        <f>C127*E127*G127</f>
        <v>54253140</v>
      </c>
      <c r="I127" s="44"/>
      <c r="J127" s="138"/>
    </row>
    <row r="128" spans="1:10" s="103" customFormat="1" x14ac:dyDescent="0.2">
      <c r="B128" s="124" t="s">
        <v>346</v>
      </c>
      <c r="C128" s="124">
        <v>7</v>
      </c>
      <c r="D128" s="124" t="s">
        <v>84</v>
      </c>
      <c r="E128" s="51">
        <v>2774088</v>
      </c>
      <c r="F128" s="124"/>
      <c r="G128" s="124"/>
      <c r="H128" s="51">
        <f>C128*E128</f>
        <v>19418616</v>
      </c>
      <c r="I128" s="44"/>
      <c r="J128" s="138"/>
    </row>
    <row r="129" spans="2:10" x14ac:dyDescent="0.2">
      <c r="B129" s="124" t="s">
        <v>90</v>
      </c>
      <c r="C129" s="124">
        <v>2</v>
      </c>
      <c r="D129" s="124" t="s">
        <v>84</v>
      </c>
      <c r="E129" s="51">
        <v>7862772</v>
      </c>
      <c r="F129" s="128"/>
      <c r="G129" s="124">
        <v>10</v>
      </c>
      <c r="H129" s="129">
        <f>C129*E129*G129</f>
        <v>157255440</v>
      </c>
      <c r="I129" s="101"/>
      <c r="J129" s="138"/>
    </row>
    <row r="130" spans="2:10" x14ac:dyDescent="0.2">
      <c r="B130" s="104" t="s">
        <v>173</v>
      </c>
      <c r="C130" s="104">
        <v>7</v>
      </c>
      <c r="D130" s="104" t="s">
        <v>195</v>
      </c>
      <c r="E130" s="45">
        <v>3145107</v>
      </c>
      <c r="F130" s="98"/>
      <c r="G130" s="104">
        <v>10</v>
      </c>
      <c r="H130" s="129">
        <f t="shared" ref="H130:H132" si="17">C130*E130*G130</f>
        <v>220157490</v>
      </c>
      <c r="I130" s="44"/>
      <c r="J130" s="53"/>
    </row>
    <row r="131" spans="2:10" x14ac:dyDescent="0.2">
      <c r="B131" s="104" t="s">
        <v>57</v>
      </c>
      <c r="C131" s="104">
        <v>7</v>
      </c>
      <c r="D131" s="104" t="s">
        <v>160</v>
      </c>
      <c r="E131" s="45">
        <v>1300000</v>
      </c>
      <c r="F131" s="98"/>
      <c r="G131" s="104">
        <v>10</v>
      </c>
      <c r="H131" s="129">
        <f t="shared" si="17"/>
        <v>91000000</v>
      </c>
      <c r="I131" s="44"/>
      <c r="J131" s="53"/>
    </row>
    <row r="132" spans="2:10" x14ac:dyDescent="0.2">
      <c r="B132" s="104" t="s">
        <v>194</v>
      </c>
      <c r="C132" s="104">
        <v>7</v>
      </c>
      <c r="D132" s="104" t="s">
        <v>196</v>
      </c>
      <c r="E132" s="45">
        <v>155000</v>
      </c>
      <c r="F132" s="98"/>
      <c r="G132" s="104">
        <v>10</v>
      </c>
      <c r="H132" s="129">
        <f t="shared" si="17"/>
        <v>10850000</v>
      </c>
      <c r="I132" s="44"/>
      <c r="J132" s="53"/>
    </row>
    <row r="133" spans="2:10" x14ac:dyDescent="0.2">
      <c r="B133" s="130" t="s">
        <v>193</v>
      </c>
      <c r="C133" s="130"/>
      <c r="D133" s="130"/>
      <c r="E133" s="52"/>
      <c r="F133" s="130"/>
      <c r="G133" s="130"/>
      <c r="H133" s="51" t="s">
        <v>78</v>
      </c>
      <c r="I133" s="44"/>
      <c r="J133" s="53"/>
    </row>
    <row r="134" spans="2:10" ht="15" x14ac:dyDescent="0.25">
      <c r="B134" s="86" t="s">
        <v>96</v>
      </c>
      <c r="C134" s="87"/>
      <c r="D134" s="87"/>
      <c r="E134" s="88"/>
      <c r="F134" s="88"/>
      <c r="G134" s="87"/>
      <c r="H134" s="99">
        <f>SUM(H123:H133)</f>
        <v>598774686</v>
      </c>
      <c r="I134" s="99">
        <f>H134/12</f>
        <v>49897890.5</v>
      </c>
      <c r="J134" s="53"/>
    </row>
    <row r="135" spans="2:10" s="103" customFormat="1" ht="260.45" hidden="1" customHeight="1" x14ac:dyDescent="0.25">
      <c r="B135" s="100" t="s">
        <v>97</v>
      </c>
      <c r="C135" s="220"/>
      <c r="D135" s="220"/>
      <c r="E135" s="220"/>
      <c r="F135" s="220"/>
      <c r="G135" s="220"/>
      <c r="H135" s="99">
        <f>SUM(H124:H134)</f>
        <v>1191549372</v>
      </c>
      <c r="J135" s="102"/>
    </row>
    <row r="136" spans="2:10" ht="231" customHeight="1" x14ac:dyDescent="0.2">
      <c r="B136" s="132" t="s">
        <v>435</v>
      </c>
      <c r="C136" s="103"/>
      <c r="D136" s="103"/>
      <c r="E136" s="103"/>
      <c r="F136" s="78"/>
    </row>
  </sheetData>
  <sheetProtection algorithmName="SHA-512" hashValue="wKo17CCGkwXxHi7Fb86KN4BJSQtBCBiIiZ16oDS1tdJEyltWxpgRTfiV4mbTIg9by+LT3RClGARgkHqq+Wqt2g==" saltValue="5dG77DQY11k1kDHf6hKAIw==" spinCount="100000" sheet="1" objects="1" scenarios="1"/>
  <mergeCells count="6">
    <mergeCell ref="B120:H120"/>
    <mergeCell ref="B16:H17"/>
    <mergeCell ref="B43:H43"/>
    <mergeCell ref="B64:H64"/>
    <mergeCell ref="D63:H63"/>
    <mergeCell ref="B95:H9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3"/>
  <sheetViews>
    <sheetView showGridLines="0" topLeftCell="A4" zoomScale="60" zoomScaleNormal="60" workbookViewId="0">
      <selection activeCell="B10" sqref="B10"/>
    </sheetView>
  </sheetViews>
  <sheetFormatPr baseColWidth="10" defaultColWidth="10.7109375" defaultRowHeight="14.25" x14ac:dyDescent="0.2"/>
  <cols>
    <col min="1" max="1" width="13.42578125" style="102" customWidth="1"/>
    <col min="2" max="2" width="67.42578125" style="102" customWidth="1"/>
    <col min="3" max="3" width="26.42578125" style="102" customWidth="1"/>
    <col min="4" max="4" width="27.140625" style="102" customWidth="1"/>
    <col min="5" max="5" width="22.42578125" style="102" customWidth="1"/>
    <col min="6" max="7" width="19.7109375" style="102" bestFit="1" customWidth="1"/>
    <col min="8" max="8" width="21.42578125" style="102" customWidth="1"/>
    <col min="9" max="11" width="19.7109375" style="102" bestFit="1" customWidth="1"/>
    <col min="12" max="12" width="20.42578125" style="102" bestFit="1" customWidth="1"/>
    <col min="13" max="22" width="19.7109375" style="102" bestFit="1" customWidth="1"/>
    <col min="23" max="23" width="20.42578125" style="102" bestFit="1" customWidth="1"/>
    <col min="24" max="24" width="25.42578125" style="102" customWidth="1"/>
    <col min="25" max="25" width="22.28515625" style="102" bestFit="1" customWidth="1"/>
    <col min="26" max="26" width="19.140625" style="102" bestFit="1" customWidth="1"/>
    <col min="27" max="27" width="17" style="102" bestFit="1" customWidth="1"/>
    <col min="28" max="28" width="17.85546875" style="102" customWidth="1"/>
    <col min="29" max="16384" width="10.7109375" style="102"/>
  </cols>
  <sheetData>
    <row r="2" spans="1:26" ht="15" x14ac:dyDescent="0.25">
      <c r="A2" s="58" t="s">
        <v>98</v>
      </c>
    </row>
    <row r="3" spans="1:26" s="103" customFormat="1" ht="15" x14ac:dyDescent="0.25">
      <c r="A3" s="50"/>
    </row>
    <row r="4" spans="1:26" ht="21.75" customHeight="1" x14ac:dyDescent="0.25">
      <c r="A4" s="59"/>
      <c r="B4" s="60" t="str">
        <f>'PPP_V3_y Costos'!C19</f>
        <v>7. Contribución al ordenamiento productivo y social de la propiedad.</v>
      </c>
      <c r="C4" s="61"/>
      <c r="D4" s="62"/>
    </row>
    <row r="5" spans="1:26" ht="26.25" customHeight="1" x14ac:dyDescent="0.2"/>
    <row r="6" spans="1:26" ht="15" x14ac:dyDescent="0.25">
      <c r="E6" s="63">
        <v>1</v>
      </c>
      <c r="F6" s="63">
        <v>2</v>
      </c>
      <c r="G6" s="63">
        <v>3</v>
      </c>
      <c r="H6" s="63">
        <v>4</v>
      </c>
      <c r="I6" s="63">
        <v>5</v>
      </c>
      <c r="J6" s="63">
        <v>6</v>
      </c>
      <c r="K6" s="63">
        <v>7</v>
      </c>
      <c r="L6" s="63">
        <v>8</v>
      </c>
      <c r="M6" s="63">
        <v>9</v>
      </c>
      <c r="N6" s="63">
        <v>10</v>
      </c>
      <c r="O6" s="63">
        <v>11</v>
      </c>
      <c r="P6" s="63">
        <v>12</v>
      </c>
      <c r="Q6" s="63">
        <v>13</v>
      </c>
      <c r="R6" s="63">
        <v>14</v>
      </c>
      <c r="S6" s="63">
        <v>15</v>
      </c>
      <c r="T6" s="63">
        <v>16</v>
      </c>
      <c r="U6" s="63">
        <v>17</v>
      </c>
      <c r="V6" s="63">
        <v>18</v>
      </c>
      <c r="W6" s="63">
        <v>19</v>
      </c>
      <c r="X6" s="63">
        <v>20</v>
      </c>
      <c r="Y6" s="63" t="s">
        <v>33</v>
      </c>
    </row>
    <row r="7" spans="1:26" s="40" customFormat="1" ht="15" x14ac:dyDescent="0.25">
      <c r="A7" s="102"/>
      <c r="B7" s="64" t="s">
        <v>29</v>
      </c>
      <c r="C7" s="65" t="s">
        <v>77</v>
      </c>
      <c r="D7" s="65" t="s">
        <v>176</v>
      </c>
      <c r="E7" s="66">
        <f t="shared" ref="E7" si="0">SUM(E8:E9)</f>
        <v>714210270.5</v>
      </c>
      <c r="F7" s="66">
        <f>SUM(F8:F9)</f>
        <v>2856841082</v>
      </c>
      <c r="G7" s="66">
        <f t="shared" ref="G7:X7" si="1">SUM(G8:G9)</f>
        <v>2856841082</v>
      </c>
      <c r="H7" s="66">
        <f t="shared" si="1"/>
        <v>2856841082</v>
      </c>
      <c r="I7" s="66">
        <f t="shared" si="1"/>
        <v>2856841082</v>
      </c>
      <c r="J7" s="66">
        <f t="shared" si="1"/>
        <v>2673166650</v>
      </c>
      <c r="K7" s="66">
        <f t="shared" si="1"/>
        <v>2673166650</v>
      </c>
      <c r="L7" s="66">
        <f t="shared" si="1"/>
        <v>2673166650</v>
      </c>
      <c r="M7" s="66">
        <f t="shared" si="1"/>
        <v>2673166650</v>
      </c>
      <c r="N7" s="66">
        <f t="shared" si="1"/>
        <v>2673166650</v>
      </c>
      <c r="O7" s="66">
        <f t="shared" si="1"/>
        <v>2673166650</v>
      </c>
      <c r="P7" s="66">
        <f t="shared" si="1"/>
        <v>2673166650</v>
      </c>
      <c r="Q7" s="66">
        <f t="shared" si="1"/>
        <v>2673166650</v>
      </c>
      <c r="R7" s="66">
        <f t="shared" si="1"/>
        <v>2673166650</v>
      </c>
      <c r="S7" s="66">
        <f t="shared" si="1"/>
        <v>2673166650</v>
      </c>
      <c r="T7" s="66">
        <f t="shared" si="1"/>
        <v>2673166650</v>
      </c>
      <c r="U7" s="66">
        <f t="shared" si="1"/>
        <v>2673166650</v>
      </c>
      <c r="V7" s="66">
        <f t="shared" si="1"/>
        <v>2673166650</v>
      </c>
      <c r="W7" s="66">
        <f t="shared" si="1"/>
        <v>2673166650</v>
      </c>
      <c r="X7" s="66">
        <f t="shared" si="1"/>
        <v>2673166650</v>
      </c>
      <c r="Y7" s="66">
        <f>SUM(E7:X7)</f>
        <v>52239074348.5</v>
      </c>
    </row>
    <row r="8" spans="1:26" s="71" customFormat="1" ht="60" customHeight="1" x14ac:dyDescent="0.2">
      <c r="A8" s="68"/>
      <c r="B8" s="69" t="str">
        <f>'PPP_V3_y Costos'!D19</f>
        <v>7.1. Articulación con las políticas de ordenamiento productivo y social de la propiedad rural para el cultivo de maíz.</v>
      </c>
      <c r="C8" s="114" t="s">
        <v>235</v>
      </c>
      <c r="D8" s="134" t="s">
        <v>201</v>
      </c>
      <c r="E8" s="70">
        <f>I32*3</f>
        <v>184975747.5</v>
      </c>
      <c r="F8" s="70">
        <f>H32</f>
        <v>739902990</v>
      </c>
      <c r="G8" s="70">
        <f>H32</f>
        <v>739902990</v>
      </c>
      <c r="H8" s="70">
        <f>H32</f>
        <v>739902990</v>
      </c>
      <c r="I8" s="70">
        <f>H32</f>
        <v>739902990</v>
      </c>
      <c r="J8" s="70">
        <f>H32</f>
        <v>739902990</v>
      </c>
      <c r="K8" s="70">
        <f>H32</f>
        <v>739902990</v>
      </c>
      <c r="L8" s="70">
        <f t="shared" ref="L8:X8" si="2">K8</f>
        <v>739902990</v>
      </c>
      <c r="M8" s="70">
        <f t="shared" si="2"/>
        <v>739902990</v>
      </c>
      <c r="N8" s="70">
        <f t="shared" si="2"/>
        <v>739902990</v>
      </c>
      <c r="O8" s="70">
        <f t="shared" si="2"/>
        <v>739902990</v>
      </c>
      <c r="P8" s="70">
        <f t="shared" si="2"/>
        <v>739902990</v>
      </c>
      <c r="Q8" s="70">
        <f t="shared" si="2"/>
        <v>739902990</v>
      </c>
      <c r="R8" s="70">
        <f t="shared" si="2"/>
        <v>739902990</v>
      </c>
      <c r="S8" s="70">
        <f t="shared" si="2"/>
        <v>739902990</v>
      </c>
      <c r="T8" s="70">
        <f t="shared" si="2"/>
        <v>739902990</v>
      </c>
      <c r="U8" s="70">
        <f t="shared" si="2"/>
        <v>739902990</v>
      </c>
      <c r="V8" s="70">
        <f t="shared" si="2"/>
        <v>739902990</v>
      </c>
      <c r="W8" s="70">
        <f t="shared" si="2"/>
        <v>739902990</v>
      </c>
      <c r="X8" s="70">
        <f t="shared" si="2"/>
        <v>739902990</v>
      </c>
      <c r="Y8" s="70">
        <f>SUM(E8:X8)</f>
        <v>14243132557.5</v>
      </c>
    </row>
    <row r="9" spans="1:26" s="71" customFormat="1" ht="42.95" customHeight="1" x14ac:dyDescent="0.2">
      <c r="A9" s="68"/>
      <c r="B9" s="69" t="str">
        <f>'PPP_V3_y Costos'!D20</f>
        <v xml:space="preserve">7.2  Fortalecimiento en el acceso y la seguridad jurídica de los predios e inversiones para el cultivo de maíz. </v>
      </c>
      <c r="C9" s="114" t="s">
        <v>235</v>
      </c>
      <c r="D9" s="114" t="s">
        <v>201</v>
      </c>
      <c r="E9" s="70">
        <f>I59*3</f>
        <v>529234523</v>
      </c>
      <c r="F9" s="70">
        <f>H59</f>
        <v>2116938092</v>
      </c>
      <c r="G9" s="70">
        <f>F9</f>
        <v>2116938092</v>
      </c>
      <c r="H9" s="70">
        <f>G9</f>
        <v>2116938092</v>
      </c>
      <c r="I9" s="70">
        <f>H9</f>
        <v>2116938092</v>
      </c>
      <c r="J9" s="70">
        <f>H61</f>
        <v>1933263660</v>
      </c>
      <c r="K9" s="70">
        <f>J9</f>
        <v>1933263660</v>
      </c>
      <c r="L9" s="70">
        <f t="shared" ref="L9:X9" si="3">K9</f>
        <v>1933263660</v>
      </c>
      <c r="M9" s="70">
        <f t="shared" si="3"/>
        <v>1933263660</v>
      </c>
      <c r="N9" s="70">
        <f t="shared" si="3"/>
        <v>1933263660</v>
      </c>
      <c r="O9" s="70">
        <f t="shared" si="3"/>
        <v>1933263660</v>
      </c>
      <c r="P9" s="70">
        <f t="shared" si="3"/>
        <v>1933263660</v>
      </c>
      <c r="Q9" s="70">
        <f t="shared" si="3"/>
        <v>1933263660</v>
      </c>
      <c r="R9" s="70">
        <f t="shared" si="3"/>
        <v>1933263660</v>
      </c>
      <c r="S9" s="70">
        <f t="shared" si="3"/>
        <v>1933263660</v>
      </c>
      <c r="T9" s="70">
        <f t="shared" si="3"/>
        <v>1933263660</v>
      </c>
      <c r="U9" s="70">
        <f t="shared" si="3"/>
        <v>1933263660</v>
      </c>
      <c r="V9" s="70">
        <f t="shared" si="3"/>
        <v>1933263660</v>
      </c>
      <c r="W9" s="70">
        <f t="shared" si="3"/>
        <v>1933263660</v>
      </c>
      <c r="X9" s="70">
        <f t="shared" si="3"/>
        <v>1933263660</v>
      </c>
      <c r="Y9" s="70">
        <f>SUM(E9:X9)</f>
        <v>37995941791</v>
      </c>
    </row>
    <row r="10" spans="1:26" s="40" customFormat="1" ht="24.75" customHeight="1" x14ac:dyDescent="0.25">
      <c r="A10" s="102"/>
      <c r="B10" s="64" t="s">
        <v>33</v>
      </c>
      <c r="C10" s="64"/>
      <c r="D10" s="64"/>
      <c r="E10" s="72">
        <f>E8+E9</f>
        <v>714210270.5</v>
      </c>
      <c r="F10" s="72">
        <f t="shared" ref="F10:X10" si="4">F8+F9</f>
        <v>2856841082</v>
      </c>
      <c r="G10" s="72">
        <f t="shared" si="4"/>
        <v>2856841082</v>
      </c>
      <c r="H10" s="72">
        <f t="shared" si="4"/>
        <v>2856841082</v>
      </c>
      <c r="I10" s="72">
        <f t="shared" si="4"/>
        <v>2856841082</v>
      </c>
      <c r="J10" s="72">
        <f t="shared" si="4"/>
        <v>2673166650</v>
      </c>
      <c r="K10" s="72">
        <f t="shared" si="4"/>
        <v>2673166650</v>
      </c>
      <c r="L10" s="72">
        <f t="shared" si="4"/>
        <v>2673166650</v>
      </c>
      <c r="M10" s="72">
        <f t="shared" si="4"/>
        <v>2673166650</v>
      </c>
      <c r="N10" s="72">
        <f t="shared" si="4"/>
        <v>2673166650</v>
      </c>
      <c r="O10" s="72">
        <f t="shared" si="4"/>
        <v>2673166650</v>
      </c>
      <c r="P10" s="72">
        <f t="shared" si="4"/>
        <v>2673166650</v>
      </c>
      <c r="Q10" s="72">
        <f t="shared" si="4"/>
        <v>2673166650</v>
      </c>
      <c r="R10" s="72">
        <f t="shared" si="4"/>
        <v>2673166650</v>
      </c>
      <c r="S10" s="72">
        <f t="shared" si="4"/>
        <v>2673166650</v>
      </c>
      <c r="T10" s="72">
        <f t="shared" si="4"/>
        <v>2673166650</v>
      </c>
      <c r="U10" s="72">
        <f t="shared" si="4"/>
        <v>2673166650</v>
      </c>
      <c r="V10" s="72">
        <f t="shared" si="4"/>
        <v>2673166650</v>
      </c>
      <c r="W10" s="72">
        <f t="shared" si="4"/>
        <v>2673166650</v>
      </c>
      <c r="X10" s="72">
        <f t="shared" si="4"/>
        <v>2673166650</v>
      </c>
      <c r="Y10" s="72">
        <f>Y8+Y9</f>
        <v>52239074348.5</v>
      </c>
    </row>
    <row r="11" spans="1:26" s="76" customFormat="1" ht="24.75" customHeight="1" x14ac:dyDescent="0.25">
      <c r="A11" s="103"/>
      <c r="B11" s="73"/>
      <c r="C11" s="73"/>
      <c r="D11" s="73"/>
      <c r="E11" s="73"/>
      <c r="F11" s="74"/>
      <c r="G11" s="75"/>
      <c r="H11" s="74"/>
      <c r="I11" s="74"/>
      <c r="J11" s="74"/>
      <c r="K11" s="74"/>
      <c r="L11" s="74"/>
      <c r="M11" s="74"/>
      <c r="N11" s="74"/>
      <c r="O11" s="74"/>
      <c r="P11" s="74"/>
      <c r="Q11" s="74"/>
      <c r="R11" s="74"/>
      <c r="S11" s="74"/>
      <c r="T11" s="74"/>
      <c r="U11" s="74"/>
      <c r="V11" s="74"/>
      <c r="W11" s="74"/>
      <c r="X11" s="74"/>
      <c r="Y11" s="74"/>
      <c r="Z11" s="74"/>
    </row>
    <row r="13" spans="1:26" s="103" customFormat="1" ht="14.45" customHeight="1" x14ac:dyDescent="0.25">
      <c r="B13" s="717" t="str">
        <f>B8</f>
        <v>7.1. Articulación con las políticas de ordenamiento productivo y social de la propiedad rural para el cultivo de maíz.</v>
      </c>
      <c r="C13" s="718"/>
      <c r="D13" s="718"/>
      <c r="E13" s="718"/>
      <c r="F13" s="718"/>
      <c r="G13" s="718"/>
      <c r="H13" s="718"/>
      <c r="I13" s="113"/>
      <c r="J13" s="123"/>
      <c r="K13" s="123"/>
      <c r="X13" s="78"/>
    </row>
    <row r="14" spans="1:26" s="103" customFormat="1" ht="14.45" customHeight="1" x14ac:dyDescent="0.25">
      <c r="B14" s="719"/>
      <c r="C14" s="719"/>
      <c r="D14" s="719"/>
      <c r="E14" s="719"/>
      <c r="F14" s="719"/>
      <c r="G14" s="719"/>
      <c r="H14" s="719"/>
      <c r="I14" s="113"/>
      <c r="J14" s="123"/>
      <c r="X14" s="78"/>
    </row>
    <row r="15" spans="1:26" ht="15" x14ac:dyDescent="0.25">
      <c r="B15" s="79" t="s">
        <v>79</v>
      </c>
      <c r="C15" s="79" t="s">
        <v>59</v>
      </c>
      <c r="D15" s="79" t="s">
        <v>56</v>
      </c>
      <c r="E15" s="79" t="s">
        <v>55</v>
      </c>
      <c r="F15" s="80" t="s">
        <v>108</v>
      </c>
      <c r="G15" s="79" t="s">
        <v>81</v>
      </c>
      <c r="H15" s="79" t="s">
        <v>82</v>
      </c>
      <c r="I15" s="42"/>
      <c r="X15" s="81"/>
    </row>
    <row r="16" spans="1:26" x14ac:dyDescent="0.2">
      <c r="B16" s="105" t="s">
        <v>83</v>
      </c>
      <c r="C16" s="105">
        <v>12</v>
      </c>
      <c r="D16" s="105" t="s">
        <v>84</v>
      </c>
      <c r="E16" s="82">
        <v>500000</v>
      </c>
      <c r="F16" s="105"/>
      <c r="G16" s="105"/>
      <c r="H16" s="82">
        <f t="shared" ref="H16:H21" si="5">C16*E16</f>
        <v>6000000</v>
      </c>
      <c r="J16" s="53"/>
    </row>
    <row r="17" spans="2:10" x14ac:dyDescent="0.2">
      <c r="B17" s="105" t="s">
        <v>85</v>
      </c>
      <c r="C17" s="105">
        <v>12</v>
      </c>
      <c r="D17" s="105" t="s">
        <v>84</v>
      </c>
      <c r="E17" s="82">
        <v>100000</v>
      </c>
      <c r="F17" s="105"/>
      <c r="G17" s="105"/>
      <c r="H17" s="82">
        <f t="shared" si="5"/>
        <v>1200000</v>
      </c>
      <c r="J17" s="138"/>
    </row>
    <row r="18" spans="2:10" x14ac:dyDescent="0.2">
      <c r="B18" s="105" t="s">
        <v>102</v>
      </c>
      <c r="C18" s="105">
        <v>19</v>
      </c>
      <c r="D18" s="105" t="s">
        <v>84</v>
      </c>
      <c r="E18" s="82">
        <v>2300000</v>
      </c>
      <c r="F18" s="105"/>
      <c r="G18" s="105"/>
      <c r="H18" s="82">
        <f t="shared" si="5"/>
        <v>43700000</v>
      </c>
      <c r="I18" s="101"/>
      <c r="J18" s="138"/>
    </row>
    <row r="19" spans="2:10" x14ac:dyDescent="0.2">
      <c r="B19" s="105" t="s">
        <v>103</v>
      </c>
      <c r="C19" s="105">
        <v>19</v>
      </c>
      <c r="D19" s="105" t="s">
        <v>84</v>
      </c>
      <c r="E19" s="82">
        <v>460000</v>
      </c>
      <c r="F19" s="105"/>
      <c r="G19" s="105"/>
      <c r="H19" s="82">
        <f t="shared" si="5"/>
        <v>8740000</v>
      </c>
      <c r="I19" s="101"/>
      <c r="J19" s="138"/>
    </row>
    <row r="20" spans="2:10" x14ac:dyDescent="0.2">
      <c r="B20" s="105" t="s">
        <v>208</v>
      </c>
      <c r="C20" s="105">
        <v>19</v>
      </c>
      <c r="D20" s="105" t="s">
        <v>84</v>
      </c>
      <c r="E20" s="82">
        <v>3000000</v>
      </c>
      <c r="F20" s="105"/>
      <c r="G20" s="105"/>
      <c r="H20" s="82">
        <f t="shared" si="5"/>
        <v>57000000</v>
      </c>
      <c r="I20" s="101"/>
      <c r="J20" s="138"/>
    </row>
    <row r="21" spans="2:10" x14ac:dyDescent="0.2">
      <c r="B21" s="105" t="s">
        <v>60</v>
      </c>
      <c r="C21" s="105">
        <v>7</v>
      </c>
      <c r="D21" s="105" t="s">
        <v>84</v>
      </c>
      <c r="E21" s="82">
        <v>5000000</v>
      </c>
      <c r="F21" s="105"/>
      <c r="G21" s="105"/>
      <c r="H21" s="82">
        <f t="shared" si="5"/>
        <v>35000000</v>
      </c>
      <c r="I21" s="101"/>
      <c r="J21" s="53"/>
    </row>
    <row r="22" spans="2:10" x14ac:dyDescent="0.2">
      <c r="B22" s="105" t="s">
        <v>210</v>
      </c>
      <c r="C22" s="105">
        <v>2</v>
      </c>
      <c r="D22" s="105" t="s">
        <v>114</v>
      </c>
      <c r="E22" s="82">
        <v>7233751</v>
      </c>
      <c r="F22" s="105"/>
      <c r="G22" s="105">
        <v>4</v>
      </c>
      <c r="H22" s="82">
        <f>C22*E22*G22</f>
        <v>57870008</v>
      </c>
      <c r="J22" s="53"/>
    </row>
    <row r="23" spans="2:10" x14ac:dyDescent="0.2">
      <c r="B23" s="105" t="s">
        <v>87</v>
      </c>
      <c r="C23" s="105">
        <v>19</v>
      </c>
      <c r="D23" s="105" t="s">
        <v>76</v>
      </c>
      <c r="E23" s="95">
        <v>6000000</v>
      </c>
      <c r="F23" s="105"/>
      <c r="G23" s="105"/>
      <c r="H23" s="82">
        <f>C23*E23</f>
        <v>114000000</v>
      </c>
      <c r="J23" s="53"/>
    </row>
    <row r="24" spans="2:10" x14ac:dyDescent="0.2">
      <c r="B24" s="105" t="s">
        <v>88</v>
      </c>
      <c r="C24" s="105">
        <v>19</v>
      </c>
      <c r="D24" s="105" t="s">
        <v>76</v>
      </c>
      <c r="E24" s="95">
        <v>1800000</v>
      </c>
      <c r="F24" s="105"/>
      <c r="G24" s="105"/>
      <c r="H24" s="82">
        <f>C24*E24</f>
        <v>34200000</v>
      </c>
      <c r="J24" s="53"/>
    </row>
    <row r="25" spans="2:10" x14ac:dyDescent="0.2">
      <c r="B25" s="105" t="s">
        <v>90</v>
      </c>
      <c r="C25" s="105">
        <v>2</v>
      </c>
      <c r="D25" s="105" t="s">
        <v>160</v>
      </c>
      <c r="E25" s="82">
        <v>7862772</v>
      </c>
      <c r="F25" s="209">
        <v>0.5</v>
      </c>
      <c r="G25" s="105">
        <v>10</v>
      </c>
      <c r="H25" s="82">
        <f>C25*E25*G25*F25</f>
        <v>78627720</v>
      </c>
      <c r="I25" s="44"/>
      <c r="J25" s="53"/>
    </row>
    <row r="26" spans="2:10" x14ac:dyDescent="0.2">
      <c r="B26" s="105" t="s">
        <v>91</v>
      </c>
      <c r="C26" s="105">
        <v>7</v>
      </c>
      <c r="D26" s="105" t="s">
        <v>172</v>
      </c>
      <c r="E26" s="82">
        <v>1313122</v>
      </c>
      <c r="F26" s="105"/>
      <c r="G26" s="105">
        <v>5</v>
      </c>
      <c r="H26" s="82">
        <f>C26*E26*G26</f>
        <v>45959270</v>
      </c>
      <c r="I26" s="44"/>
      <c r="J26" s="53"/>
    </row>
    <row r="27" spans="2:10" x14ac:dyDescent="0.2">
      <c r="B27" s="105" t="s">
        <v>173</v>
      </c>
      <c r="C27" s="105">
        <v>7</v>
      </c>
      <c r="D27" s="105" t="s">
        <v>114</v>
      </c>
      <c r="E27" s="82">
        <v>3145107</v>
      </c>
      <c r="F27" s="209">
        <v>0.5</v>
      </c>
      <c r="G27" s="105">
        <v>8</v>
      </c>
      <c r="H27" s="82">
        <f>C27*E27*G27</f>
        <v>176125992</v>
      </c>
      <c r="I27" s="44"/>
      <c r="J27" s="53"/>
    </row>
    <row r="28" spans="2:10" x14ac:dyDescent="0.2">
      <c r="B28" s="105" t="s">
        <v>57</v>
      </c>
      <c r="C28" s="105">
        <v>7</v>
      </c>
      <c r="D28" s="105" t="s">
        <v>84</v>
      </c>
      <c r="E28" s="82">
        <v>1300000</v>
      </c>
      <c r="F28" s="209">
        <v>0.5</v>
      </c>
      <c r="G28" s="105">
        <v>8</v>
      </c>
      <c r="H28" s="82">
        <f>C28*E28*G28</f>
        <v>72800000</v>
      </c>
      <c r="I28" s="44"/>
      <c r="J28" s="53"/>
    </row>
    <row r="29" spans="2:10" x14ac:dyDescent="0.2">
      <c r="B29" s="105" t="s">
        <v>194</v>
      </c>
      <c r="C29" s="105">
        <v>7</v>
      </c>
      <c r="D29" s="105" t="s">
        <v>84</v>
      </c>
      <c r="E29" s="82">
        <v>155000</v>
      </c>
      <c r="F29" s="209"/>
      <c r="G29" s="105">
        <v>8</v>
      </c>
      <c r="H29" s="82">
        <f>C29*E29*G29</f>
        <v>8680000</v>
      </c>
      <c r="I29" s="44"/>
      <c r="J29" s="53"/>
    </row>
    <row r="30" spans="2:10" x14ac:dyDescent="0.2">
      <c r="B30" s="105" t="s">
        <v>221</v>
      </c>
      <c r="C30" s="105"/>
      <c r="D30" s="105"/>
      <c r="E30" s="82"/>
      <c r="F30" s="209"/>
      <c r="G30" s="105"/>
      <c r="H30" s="82" t="s">
        <v>78</v>
      </c>
      <c r="I30" s="44"/>
      <c r="J30" s="138"/>
    </row>
    <row r="31" spans="2:10" ht="15" x14ac:dyDescent="0.25">
      <c r="B31" s="105" t="s">
        <v>209</v>
      </c>
      <c r="C31" s="105"/>
      <c r="D31" s="105"/>
      <c r="E31" s="105"/>
      <c r="F31" s="105"/>
      <c r="G31" s="105"/>
      <c r="H31" s="82" t="s">
        <v>78</v>
      </c>
      <c r="I31" s="89" t="s">
        <v>174</v>
      </c>
      <c r="J31" s="138"/>
    </row>
    <row r="32" spans="2:10" ht="15" x14ac:dyDescent="0.25">
      <c r="B32" s="86" t="s">
        <v>33</v>
      </c>
      <c r="C32" s="87"/>
      <c r="D32" s="87"/>
      <c r="E32" s="87"/>
      <c r="F32" s="88"/>
      <c r="G32" s="88"/>
      <c r="H32" s="89">
        <f>SUM(H16:H31)</f>
        <v>739902990</v>
      </c>
      <c r="I32" s="89">
        <f>H32/12</f>
        <v>61658582.5</v>
      </c>
      <c r="J32" s="138"/>
    </row>
    <row r="33" spans="1:10" s="103" customFormat="1" ht="140.25" customHeight="1" x14ac:dyDescent="0.2">
      <c r="B33" s="132" t="s">
        <v>378</v>
      </c>
      <c r="C33" s="90"/>
      <c r="D33" s="90"/>
      <c r="E33" s="90"/>
      <c r="F33" s="90"/>
      <c r="G33" s="90"/>
      <c r="H33" s="90"/>
    </row>
    <row r="34" spans="1:10" ht="15" x14ac:dyDescent="0.25">
      <c r="B34" s="112"/>
      <c r="C34" s="112"/>
      <c r="D34" s="112"/>
      <c r="E34" s="112"/>
      <c r="F34" s="112"/>
      <c r="G34" s="112"/>
      <c r="H34" s="112"/>
      <c r="I34" s="91"/>
    </row>
    <row r="35" spans="1:10" ht="15" x14ac:dyDescent="0.25">
      <c r="B35" s="112"/>
      <c r="C35" s="112"/>
      <c r="D35" s="112"/>
      <c r="E35" s="112"/>
      <c r="F35" s="112"/>
      <c r="G35" s="112"/>
      <c r="H35" s="112"/>
      <c r="I35" s="91"/>
    </row>
    <row r="36" spans="1:10" s="103" customFormat="1" ht="14.45" customHeight="1" x14ac:dyDescent="0.25">
      <c r="A36" s="92"/>
      <c r="B36" s="717" t="str">
        <f>B9</f>
        <v xml:space="preserve">7.2  Fortalecimiento en el acceso y la seguridad jurídica de los predios e inversiones para el cultivo de maíz. </v>
      </c>
      <c r="C36" s="718"/>
      <c r="D36" s="718"/>
      <c r="E36" s="718"/>
      <c r="F36" s="718"/>
      <c r="G36" s="718"/>
      <c r="H36" s="718"/>
    </row>
    <row r="37" spans="1:10" hidden="1" x14ac:dyDescent="0.2">
      <c r="B37" s="112"/>
      <c r="C37" s="112"/>
      <c r="D37" s="112"/>
      <c r="E37" s="112"/>
      <c r="F37" s="112"/>
      <c r="G37" s="112"/>
      <c r="H37" s="112"/>
    </row>
    <row r="38" spans="1:10" ht="15" x14ac:dyDescent="0.25">
      <c r="B38" s="79" t="s">
        <v>79</v>
      </c>
      <c r="C38" s="79" t="s">
        <v>59</v>
      </c>
      <c r="D38" s="79" t="s">
        <v>56</v>
      </c>
      <c r="E38" s="79" t="s">
        <v>55</v>
      </c>
      <c r="F38" s="79" t="s">
        <v>80</v>
      </c>
      <c r="G38" s="79" t="s">
        <v>81</v>
      </c>
      <c r="H38" s="79" t="s">
        <v>82</v>
      </c>
    </row>
    <row r="39" spans="1:10" s="103" customFormat="1" x14ac:dyDescent="0.2">
      <c r="A39" s="93"/>
      <c r="B39" s="104" t="s">
        <v>83</v>
      </c>
      <c r="C39" s="104">
        <v>12</v>
      </c>
      <c r="D39" s="104" t="s">
        <v>84</v>
      </c>
      <c r="E39" s="45">
        <v>500000</v>
      </c>
      <c r="F39" s="104"/>
      <c r="G39" s="104"/>
      <c r="H39" s="82">
        <v>12000000</v>
      </c>
      <c r="I39" s="44"/>
      <c r="J39" s="138"/>
    </row>
    <row r="40" spans="1:10" s="103" customFormat="1" x14ac:dyDescent="0.2">
      <c r="B40" s="104" t="s">
        <v>85</v>
      </c>
      <c r="C40" s="104">
        <v>12</v>
      </c>
      <c r="D40" s="104" t="s">
        <v>84</v>
      </c>
      <c r="E40" s="45">
        <v>100000</v>
      </c>
      <c r="F40" s="104"/>
      <c r="G40" s="104"/>
      <c r="H40" s="82">
        <v>1200000</v>
      </c>
      <c r="I40" s="44"/>
      <c r="J40" s="138"/>
    </row>
    <row r="41" spans="1:10" s="103" customFormat="1" x14ac:dyDescent="0.2">
      <c r="B41" s="104" t="s">
        <v>102</v>
      </c>
      <c r="C41" s="104">
        <v>19</v>
      </c>
      <c r="D41" s="104" t="s">
        <v>84</v>
      </c>
      <c r="E41" s="45">
        <v>2300000</v>
      </c>
      <c r="F41" s="104"/>
      <c r="G41" s="104"/>
      <c r="H41" s="82">
        <v>20000000</v>
      </c>
      <c r="I41" s="44"/>
      <c r="J41" s="138"/>
    </row>
    <row r="42" spans="1:10" x14ac:dyDescent="0.2">
      <c r="B42" s="104" t="s">
        <v>103</v>
      </c>
      <c r="C42" s="104">
        <v>19</v>
      </c>
      <c r="D42" s="104" t="s">
        <v>84</v>
      </c>
      <c r="E42" s="45">
        <v>460000</v>
      </c>
      <c r="F42" s="104"/>
      <c r="G42" s="104"/>
      <c r="H42" s="82">
        <v>142500000</v>
      </c>
      <c r="I42" s="101"/>
      <c r="J42" s="138"/>
    </row>
    <row r="43" spans="1:10" x14ac:dyDescent="0.2">
      <c r="B43" s="104" t="s">
        <v>60</v>
      </c>
      <c r="C43" s="104">
        <v>7</v>
      </c>
      <c r="D43" s="104" t="s">
        <v>84</v>
      </c>
      <c r="E43" s="45">
        <v>5000000</v>
      </c>
      <c r="F43" s="104"/>
      <c r="G43" s="104"/>
      <c r="H43" s="82">
        <f>C43*E43</f>
        <v>35000000</v>
      </c>
      <c r="I43" s="101"/>
      <c r="J43" s="138"/>
    </row>
    <row r="44" spans="1:10" x14ac:dyDescent="0.2">
      <c r="B44" s="104" t="s">
        <v>212</v>
      </c>
      <c r="C44" s="104">
        <v>1</v>
      </c>
      <c r="D44" s="104" t="s">
        <v>84</v>
      </c>
      <c r="E44" s="45">
        <v>142800000</v>
      </c>
      <c r="F44" s="104"/>
      <c r="G44" s="104"/>
      <c r="H44" s="82">
        <f>C44*E44</f>
        <v>142800000</v>
      </c>
      <c r="I44" s="101"/>
      <c r="J44" s="138"/>
    </row>
    <row r="45" spans="1:10" s="103" customFormat="1" x14ac:dyDescent="0.2">
      <c r="A45" s="93"/>
      <c r="B45" s="104" t="s">
        <v>189</v>
      </c>
      <c r="C45" s="105">
        <v>7</v>
      </c>
      <c r="D45" s="104" t="s">
        <v>84</v>
      </c>
      <c r="E45" s="45">
        <v>3000000</v>
      </c>
      <c r="F45" s="104"/>
      <c r="G45" s="104"/>
      <c r="H45" s="82">
        <v>50000000</v>
      </c>
      <c r="I45" s="84"/>
      <c r="J45" s="138"/>
    </row>
    <row r="46" spans="1:10" s="103" customFormat="1" x14ac:dyDescent="0.2">
      <c r="A46" s="93"/>
      <c r="B46" s="104" t="s">
        <v>214</v>
      </c>
      <c r="C46" s="105">
        <v>1</v>
      </c>
      <c r="D46" s="104" t="s">
        <v>84</v>
      </c>
      <c r="E46" s="45">
        <v>5661197</v>
      </c>
      <c r="F46" s="104"/>
      <c r="G46" s="104">
        <v>4</v>
      </c>
      <c r="H46" s="82">
        <f>C46*E46*G46</f>
        <v>22644788</v>
      </c>
      <c r="I46" s="84"/>
      <c r="J46" s="138"/>
    </row>
    <row r="47" spans="1:10" s="103" customFormat="1" x14ac:dyDescent="0.2">
      <c r="A47" s="93"/>
      <c r="B47" s="104" t="s">
        <v>171</v>
      </c>
      <c r="C47" s="104">
        <f>7*10</f>
        <v>70</v>
      </c>
      <c r="D47" s="104" t="s">
        <v>76</v>
      </c>
      <c r="E47" s="45">
        <v>6000000</v>
      </c>
      <c r="F47" s="104"/>
      <c r="G47" s="104"/>
      <c r="H47" s="82">
        <f t="shared" ref="H47:H48" si="6">C47*E47</f>
        <v>420000000</v>
      </c>
      <c r="I47" s="84"/>
      <c r="J47" s="138"/>
    </row>
    <row r="48" spans="1:10" s="103" customFormat="1" x14ac:dyDescent="0.2">
      <c r="A48" s="93"/>
      <c r="B48" s="104" t="s">
        <v>88</v>
      </c>
      <c r="C48" s="104">
        <f>7*10</f>
        <v>70</v>
      </c>
      <c r="D48" s="104" t="s">
        <v>76</v>
      </c>
      <c r="E48" s="45">
        <v>1800000</v>
      </c>
      <c r="F48" s="104"/>
      <c r="G48" s="104"/>
      <c r="H48" s="82">
        <f t="shared" si="6"/>
        <v>126000000</v>
      </c>
      <c r="I48" s="84"/>
      <c r="J48" s="138"/>
    </row>
    <row r="49" spans="1:10" s="103" customFormat="1" x14ac:dyDescent="0.2">
      <c r="A49" s="93"/>
      <c r="B49" s="104" t="s">
        <v>213</v>
      </c>
      <c r="C49" s="105">
        <v>2</v>
      </c>
      <c r="D49" s="104" t="s">
        <v>84</v>
      </c>
      <c r="E49" s="45">
        <v>7862772</v>
      </c>
      <c r="F49" s="98">
        <v>0.5</v>
      </c>
      <c r="G49" s="104">
        <v>10</v>
      </c>
      <c r="H49" s="82">
        <v>182149176</v>
      </c>
      <c r="I49" s="85"/>
      <c r="J49" s="138"/>
    </row>
    <row r="50" spans="1:10" s="103" customFormat="1" x14ac:dyDescent="0.2">
      <c r="B50" s="104" t="s">
        <v>91</v>
      </c>
      <c r="C50" s="105">
        <v>7</v>
      </c>
      <c r="D50" s="103" t="s">
        <v>84</v>
      </c>
      <c r="E50" s="45">
        <v>1769683</v>
      </c>
      <c r="F50" s="104"/>
      <c r="G50" s="104"/>
      <c r="H50" s="82">
        <v>19851700</v>
      </c>
      <c r="I50" s="84"/>
      <c r="J50" s="138"/>
    </row>
    <row r="51" spans="1:10" s="103" customFormat="1" x14ac:dyDescent="0.2">
      <c r="B51" s="104" t="s">
        <v>173</v>
      </c>
      <c r="C51" s="105">
        <v>7</v>
      </c>
      <c r="D51" s="133" t="s">
        <v>114</v>
      </c>
      <c r="E51" s="45">
        <v>3145107</v>
      </c>
      <c r="F51" s="98">
        <v>0.5</v>
      </c>
      <c r="G51" s="104">
        <v>8</v>
      </c>
      <c r="H51" s="82">
        <f>C51*E51*F51*G51</f>
        <v>88062996</v>
      </c>
      <c r="I51" s="84"/>
      <c r="J51" s="138"/>
    </row>
    <row r="52" spans="1:10" s="103" customFormat="1" x14ac:dyDescent="0.2">
      <c r="B52" s="104" t="s">
        <v>57</v>
      </c>
      <c r="C52" s="105">
        <v>7</v>
      </c>
      <c r="D52" s="133" t="s">
        <v>84</v>
      </c>
      <c r="E52" s="45">
        <v>1300000</v>
      </c>
      <c r="F52" s="98">
        <v>0.5</v>
      </c>
      <c r="G52" s="104">
        <v>8</v>
      </c>
      <c r="H52" s="82">
        <f>C52*E52*G52*F52</f>
        <v>36400000</v>
      </c>
      <c r="I52" s="84"/>
      <c r="J52" s="138"/>
    </row>
    <row r="53" spans="1:10" s="103" customFormat="1" x14ac:dyDescent="0.2">
      <c r="B53" s="104" t="s">
        <v>194</v>
      </c>
      <c r="C53" s="105">
        <v>7</v>
      </c>
      <c r="D53" s="133" t="s">
        <v>84</v>
      </c>
      <c r="E53" s="45">
        <v>155000</v>
      </c>
      <c r="F53" s="104"/>
      <c r="G53" s="104">
        <v>8</v>
      </c>
      <c r="H53" s="82">
        <f>C53*E53*G53</f>
        <v>8680000</v>
      </c>
      <c r="I53" s="84"/>
      <c r="J53" s="138"/>
    </row>
    <row r="54" spans="1:10" x14ac:dyDescent="0.2">
      <c r="B54" s="105" t="s">
        <v>326</v>
      </c>
      <c r="C54" s="105">
        <f>19*20</f>
        <v>380</v>
      </c>
      <c r="D54" s="105" t="s">
        <v>84</v>
      </c>
      <c r="E54" s="95">
        <v>3000000</v>
      </c>
      <c r="F54" s="105"/>
      <c r="G54" s="105"/>
      <c r="H54" s="82">
        <v>625975000</v>
      </c>
      <c r="I54" s="44"/>
      <c r="J54" s="53"/>
    </row>
    <row r="55" spans="1:10" x14ac:dyDescent="0.2">
      <c r="B55" s="105" t="s">
        <v>360</v>
      </c>
      <c r="C55" s="105">
        <v>2</v>
      </c>
      <c r="D55" s="105" t="s">
        <v>84</v>
      </c>
      <c r="E55" s="95">
        <v>11479652</v>
      </c>
      <c r="F55" s="105"/>
      <c r="G55" s="105">
        <v>8</v>
      </c>
      <c r="H55" s="82">
        <f>C55*E55*G55</f>
        <v>183674432</v>
      </c>
      <c r="I55" s="44"/>
      <c r="J55" s="53"/>
    </row>
    <row r="56" spans="1:10" x14ac:dyDescent="0.2">
      <c r="B56" s="104" t="s">
        <v>211</v>
      </c>
      <c r="C56" s="105"/>
      <c r="D56" s="104"/>
      <c r="E56" s="109"/>
      <c r="F56" s="104"/>
      <c r="G56" s="104"/>
      <c r="H56" s="82" t="s">
        <v>78</v>
      </c>
      <c r="I56" s="44"/>
      <c r="J56" s="53"/>
    </row>
    <row r="57" spans="1:10" x14ac:dyDescent="0.2">
      <c r="B57" s="104" t="s">
        <v>437</v>
      </c>
      <c r="C57" s="104"/>
      <c r="D57" s="104"/>
      <c r="E57" s="109"/>
      <c r="F57" s="94"/>
      <c r="G57" s="104"/>
      <c r="H57" s="82" t="s">
        <v>78</v>
      </c>
      <c r="I57" s="44"/>
      <c r="J57" s="53"/>
    </row>
    <row r="58" spans="1:10" ht="15" x14ac:dyDescent="0.25">
      <c r="B58" s="104"/>
      <c r="C58" s="104"/>
      <c r="D58" s="104"/>
      <c r="E58" s="104"/>
      <c r="F58" s="104"/>
      <c r="G58" s="104"/>
      <c r="H58" s="105"/>
      <c r="I58" s="99" t="s">
        <v>174</v>
      </c>
      <c r="J58" s="53"/>
    </row>
    <row r="59" spans="1:10" ht="15" x14ac:dyDescent="0.25">
      <c r="B59" s="86" t="s">
        <v>361</v>
      </c>
      <c r="C59" s="87"/>
      <c r="D59" s="87"/>
      <c r="E59" s="88"/>
      <c r="F59" s="88"/>
      <c r="G59" s="87"/>
      <c r="H59" s="99">
        <f>SUM(H39:H58)</f>
        <v>2116938092</v>
      </c>
      <c r="I59" s="99">
        <f>H59/12</f>
        <v>176411507.66666666</v>
      </c>
      <c r="J59" s="53"/>
    </row>
    <row r="60" spans="1:10" s="103" customFormat="1" ht="260.45" hidden="1" customHeight="1" x14ac:dyDescent="0.25">
      <c r="B60" s="100" t="s">
        <v>97</v>
      </c>
      <c r="C60" s="112"/>
      <c r="D60" s="112"/>
      <c r="E60" s="112"/>
      <c r="F60" s="112"/>
      <c r="G60" s="112"/>
      <c r="H60" s="99">
        <f t="shared" ref="H60" si="7">SUM(H40:H59)</f>
        <v>4221876184</v>
      </c>
      <c r="J60" s="53"/>
    </row>
    <row r="61" spans="1:10" ht="15" x14ac:dyDescent="0.25">
      <c r="B61" s="86" t="s">
        <v>362</v>
      </c>
      <c r="C61" s="87"/>
      <c r="D61" s="87"/>
      <c r="E61" s="88"/>
      <c r="F61" s="88"/>
      <c r="G61" s="87"/>
      <c r="H61" s="99">
        <f>H59-H55</f>
        <v>1933263660</v>
      </c>
      <c r="I61" s="99"/>
      <c r="J61" s="53"/>
    </row>
    <row r="62" spans="1:10" ht="218.45" customHeight="1" x14ac:dyDescent="0.2">
      <c r="B62" s="131" t="s">
        <v>450</v>
      </c>
      <c r="C62" s="103"/>
      <c r="D62" s="103"/>
      <c r="E62" s="103"/>
      <c r="F62" s="78"/>
      <c r="G62" s="78"/>
    </row>
    <row r="63" spans="1:10" x14ac:dyDescent="0.2">
      <c r="B63" s="103"/>
      <c r="C63" s="103"/>
      <c r="D63" s="103"/>
      <c r="E63" s="103"/>
      <c r="F63" s="103"/>
      <c r="G63" s="103"/>
    </row>
  </sheetData>
  <sheetProtection algorithmName="SHA-512" hashValue="prZiPBCatgHSsMbqp/YOGw7JjmD2gm6uSxi43ifUyHAb02uEN2XHuz23Fm//+vNWrORr+/ToPzkbZgsW2K4EVg==" saltValue="malCPXQhWT74Y1VqY+YC2w==" spinCount="100000" sheet="1" objects="1" scenarios="1"/>
  <mergeCells count="2">
    <mergeCell ref="B13:H14"/>
    <mergeCell ref="B36:H36"/>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8"/>
  <sheetViews>
    <sheetView showGridLines="0" topLeftCell="A25" zoomScale="60" zoomScaleNormal="60" workbookViewId="0">
      <selection activeCell="B38" sqref="B38:H38"/>
    </sheetView>
  </sheetViews>
  <sheetFormatPr baseColWidth="10" defaultColWidth="10.7109375" defaultRowHeight="14.25" x14ac:dyDescent="0.2"/>
  <cols>
    <col min="1" max="1" width="13.42578125" style="102" customWidth="1"/>
    <col min="2" max="2" width="67.42578125" style="102" customWidth="1"/>
    <col min="3" max="3" width="29.85546875" style="102" customWidth="1"/>
    <col min="4" max="4" width="24.28515625" style="102" customWidth="1"/>
    <col min="5" max="5" width="22.42578125" style="102" customWidth="1"/>
    <col min="6" max="6" width="19.85546875" style="102" bestFit="1" customWidth="1"/>
    <col min="7" max="7" width="18.28515625" style="102" bestFit="1" customWidth="1"/>
    <col min="8" max="8" width="23" style="102" bestFit="1" customWidth="1"/>
    <col min="9" max="9" width="18.7109375" style="102" customWidth="1"/>
    <col min="10" max="10" width="17.42578125" style="102" bestFit="1" customWidth="1"/>
    <col min="11" max="11" width="18.28515625" style="102" bestFit="1" customWidth="1"/>
    <col min="12" max="12" width="19.140625" style="102" bestFit="1" customWidth="1"/>
    <col min="13" max="13" width="17.42578125" style="102" bestFit="1" customWidth="1"/>
    <col min="14" max="14" width="18.42578125" style="102" bestFit="1" customWidth="1"/>
    <col min="15" max="15" width="17.42578125" style="102" bestFit="1" customWidth="1"/>
    <col min="16" max="16" width="17.42578125" style="102" customWidth="1"/>
    <col min="17" max="17" width="18.42578125" style="102" bestFit="1" customWidth="1"/>
    <col min="18" max="19" width="17.42578125" style="102" bestFit="1" customWidth="1"/>
    <col min="20" max="20" width="18.42578125" style="102" bestFit="1" customWidth="1"/>
    <col min="21" max="22" width="17.42578125" style="102" bestFit="1" customWidth="1"/>
    <col min="23" max="23" width="18.42578125" style="102" bestFit="1" customWidth="1"/>
    <col min="24" max="24" width="19.140625" style="102" bestFit="1" customWidth="1"/>
    <col min="25" max="25" width="20.28515625" style="102" customWidth="1"/>
    <col min="26" max="26" width="19.140625" style="102" bestFit="1" customWidth="1"/>
    <col min="27" max="27" width="17" style="102" bestFit="1" customWidth="1"/>
    <col min="28" max="28" width="17.85546875" style="102" customWidth="1"/>
    <col min="29" max="16384" width="10.7109375" style="102"/>
  </cols>
  <sheetData>
    <row r="2" spans="1:26" ht="15" x14ac:dyDescent="0.25">
      <c r="B2" s="58" t="s">
        <v>98</v>
      </c>
    </row>
    <row r="3" spans="1:26" s="103" customFormat="1" ht="15" x14ac:dyDescent="0.25">
      <c r="A3" s="50"/>
    </row>
    <row r="4" spans="1:26" ht="21.75" customHeight="1" x14ac:dyDescent="0.25">
      <c r="A4" s="59"/>
      <c r="B4" s="171" t="str">
        <f>'PPP_V3_y Costos'!C21</f>
        <v>8. Fortalecimiento del desarrollo tecnológico y la innovación en la cadena de maíz.</v>
      </c>
      <c r="C4" s="61"/>
      <c r="D4" s="62"/>
    </row>
    <row r="5" spans="1:26" ht="26.25" customHeight="1" x14ac:dyDescent="0.2"/>
    <row r="6" spans="1:26" ht="15" x14ac:dyDescent="0.25">
      <c r="E6" s="63">
        <v>1</v>
      </c>
      <c r="F6" s="63">
        <v>2</v>
      </c>
      <c r="G6" s="63">
        <v>3</v>
      </c>
      <c r="H6" s="63">
        <v>4</v>
      </c>
      <c r="I6" s="63">
        <v>5</v>
      </c>
      <c r="J6" s="63">
        <v>6</v>
      </c>
      <c r="K6" s="63">
        <v>7</v>
      </c>
      <c r="L6" s="63">
        <v>8</v>
      </c>
      <c r="M6" s="63">
        <v>9</v>
      </c>
      <c r="N6" s="63">
        <v>10</v>
      </c>
      <c r="O6" s="63">
        <v>11</v>
      </c>
      <c r="P6" s="63">
        <v>12</v>
      </c>
      <c r="Q6" s="63">
        <v>13</v>
      </c>
      <c r="R6" s="63">
        <v>14</v>
      </c>
      <c r="S6" s="63">
        <v>15</v>
      </c>
      <c r="T6" s="63">
        <v>16</v>
      </c>
      <c r="U6" s="63">
        <v>17</v>
      </c>
      <c r="V6" s="63">
        <v>18</v>
      </c>
      <c r="W6" s="63">
        <v>19</v>
      </c>
      <c r="X6" s="63">
        <v>20</v>
      </c>
      <c r="Y6" s="63" t="s">
        <v>33</v>
      </c>
    </row>
    <row r="7" spans="1:26" s="40" customFormat="1" ht="15" x14ac:dyDescent="0.25">
      <c r="A7" s="102"/>
      <c r="B7" s="64" t="s">
        <v>29</v>
      </c>
      <c r="C7" s="65" t="s">
        <v>77</v>
      </c>
      <c r="D7" s="65" t="s">
        <v>176</v>
      </c>
      <c r="E7" s="66">
        <f t="shared" ref="E7" si="0">SUM(E8:E9)</f>
        <v>1372151353.5009999</v>
      </c>
      <c r="F7" s="66">
        <f>SUM(F8:F9)</f>
        <v>4006419856.0019999</v>
      </c>
      <c r="G7" s="66">
        <f t="shared" ref="G7:X7" si="1">SUM(G8:G9)</f>
        <v>4006419856.0019999</v>
      </c>
      <c r="H7" s="66">
        <f t="shared" si="1"/>
        <v>3375361281.5019999</v>
      </c>
      <c r="I7" s="66">
        <f t="shared" si="1"/>
        <v>1482185558.0020001</v>
      </c>
      <c r="J7" s="66">
        <f t="shared" si="1"/>
        <v>370546389.50050002</v>
      </c>
      <c r="K7" s="66">
        <f t="shared" si="1"/>
        <v>2524234298</v>
      </c>
      <c r="L7" s="66">
        <f t="shared" si="1"/>
        <v>0</v>
      </c>
      <c r="M7" s="66">
        <f t="shared" si="1"/>
        <v>0</v>
      </c>
      <c r="N7" s="66">
        <f t="shared" si="1"/>
        <v>2524234298</v>
      </c>
      <c r="O7" s="66">
        <f t="shared" si="1"/>
        <v>0</v>
      </c>
      <c r="P7" s="66">
        <f t="shared" si="1"/>
        <v>0</v>
      </c>
      <c r="Q7" s="66">
        <f t="shared" si="1"/>
        <v>2524234298</v>
      </c>
      <c r="R7" s="66">
        <f t="shared" si="1"/>
        <v>0</v>
      </c>
      <c r="S7" s="66">
        <f t="shared" si="1"/>
        <v>0</v>
      </c>
      <c r="T7" s="66">
        <f t="shared" si="1"/>
        <v>2524234298</v>
      </c>
      <c r="U7" s="66">
        <f t="shared" si="1"/>
        <v>0</v>
      </c>
      <c r="V7" s="66">
        <f t="shared" si="1"/>
        <v>0</v>
      </c>
      <c r="W7" s="66">
        <f t="shared" si="1"/>
        <v>2524234298</v>
      </c>
      <c r="X7" s="66">
        <f t="shared" si="1"/>
        <v>0</v>
      </c>
      <c r="Y7" s="66">
        <f>SUM(E7:X7)</f>
        <v>27234255784.509499</v>
      </c>
      <c r="Z7" s="67"/>
    </row>
    <row r="8" spans="1:26" s="71" customFormat="1" ht="45.75" customHeight="1" x14ac:dyDescent="0.2">
      <c r="A8" s="68"/>
      <c r="B8" s="69" t="str">
        <f>'PPP_V3_y Costos'!D21</f>
        <v>8.1. Fortalecimiento de los procesos I+D+i para la cadena de maíz y sus derivados.</v>
      </c>
      <c r="C8" s="144" t="s">
        <v>200</v>
      </c>
      <c r="D8" s="144" t="s">
        <v>177</v>
      </c>
      <c r="E8" s="198">
        <f>+H34*6</f>
        <v>741092779.00100005</v>
      </c>
      <c r="F8" s="70">
        <f>+H33</f>
        <v>1482185558.0020001</v>
      </c>
      <c r="G8" s="70">
        <f>+H33</f>
        <v>1482185558.0020001</v>
      </c>
      <c r="H8" s="70">
        <f>+H33</f>
        <v>1482185558.0020001</v>
      </c>
      <c r="I8" s="70">
        <f>+H33</f>
        <v>1482185558.0020001</v>
      </c>
      <c r="J8" s="70">
        <f>+H34*3</f>
        <v>370546389.50050002</v>
      </c>
      <c r="K8" s="70" t="str">
        <f>+H31</f>
        <v>Por definir</v>
      </c>
      <c r="L8" s="70" t="str">
        <f>+$H$31</f>
        <v>Por definir</v>
      </c>
      <c r="M8" s="70" t="str">
        <f t="shared" ref="M8:X8" si="2">+$H$31</f>
        <v>Por definir</v>
      </c>
      <c r="N8" s="70" t="str">
        <f t="shared" si="2"/>
        <v>Por definir</v>
      </c>
      <c r="O8" s="70" t="str">
        <f t="shared" si="2"/>
        <v>Por definir</v>
      </c>
      <c r="P8" s="70" t="str">
        <f t="shared" si="2"/>
        <v>Por definir</v>
      </c>
      <c r="Q8" s="70" t="str">
        <f t="shared" si="2"/>
        <v>Por definir</v>
      </c>
      <c r="R8" s="70" t="str">
        <f t="shared" si="2"/>
        <v>Por definir</v>
      </c>
      <c r="S8" s="70" t="str">
        <f t="shared" si="2"/>
        <v>Por definir</v>
      </c>
      <c r="T8" s="70" t="str">
        <f t="shared" si="2"/>
        <v>Por definir</v>
      </c>
      <c r="U8" s="70" t="str">
        <f t="shared" si="2"/>
        <v>Por definir</v>
      </c>
      <c r="V8" s="70" t="str">
        <f t="shared" si="2"/>
        <v>Por definir</v>
      </c>
      <c r="W8" s="70" t="str">
        <f t="shared" si="2"/>
        <v>Por definir</v>
      </c>
      <c r="X8" s="70" t="str">
        <f t="shared" si="2"/>
        <v>Por definir</v>
      </c>
      <c r="Y8" s="70">
        <f>SUM(E8:X8)</f>
        <v>7040381400.5094995</v>
      </c>
      <c r="Z8" s="67"/>
    </row>
    <row r="9" spans="1:26" s="71" customFormat="1" ht="42.95" customHeight="1" x14ac:dyDescent="0.2">
      <c r="A9" s="68"/>
      <c r="B9" s="69" t="str">
        <f>'PPP_V3_y Costos'!D22</f>
        <v>8.2. Fortalecimiento del talento humano en I+D+i, y en extensionismo agrícola e industrial.</v>
      </c>
      <c r="C9" s="144" t="s">
        <v>388</v>
      </c>
      <c r="D9" s="144" t="s">
        <v>177</v>
      </c>
      <c r="E9" s="146">
        <f>+H66*3</f>
        <v>631058574.5</v>
      </c>
      <c r="F9" s="70">
        <f>+H65</f>
        <v>2524234298</v>
      </c>
      <c r="G9" s="70">
        <f>+H65</f>
        <v>2524234298</v>
      </c>
      <c r="H9" s="70">
        <f>+H66*9</f>
        <v>1893175723.5</v>
      </c>
      <c r="I9" s="70" t="str">
        <f>+H64</f>
        <v>Por definir</v>
      </c>
      <c r="J9" s="70" t="str">
        <f>+H64</f>
        <v>Por definir</v>
      </c>
      <c r="K9" s="70">
        <f>+H65</f>
        <v>2524234298</v>
      </c>
      <c r="L9" s="70" t="str">
        <f>+H64</f>
        <v>Por definir</v>
      </c>
      <c r="M9" s="70" t="str">
        <f>+H64</f>
        <v>Por definir</v>
      </c>
      <c r="N9" s="70">
        <f>+H65</f>
        <v>2524234298</v>
      </c>
      <c r="O9" s="70" t="str">
        <f>+H64</f>
        <v>Por definir</v>
      </c>
      <c r="P9" s="70" t="str">
        <f>+H64</f>
        <v>Por definir</v>
      </c>
      <c r="Q9" s="70">
        <f>+H65</f>
        <v>2524234298</v>
      </c>
      <c r="R9" s="70" t="str">
        <f>+H64</f>
        <v>Por definir</v>
      </c>
      <c r="S9" s="70" t="str">
        <f>+H64</f>
        <v>Por definir</v>
      </c>
      <c r="T9" s="70">
        <f>+H65</f>
        <v>2524234298</v>
      </c>
      <c r="U9" s="70" t="str">
        <f>+H64</f>
        <v>Por definir</v>
      </c>
      <c r="V9" s="70" t="str">
        <f>+H64</f>
        <v>Por definir</v>
      </c>
      <c r="W9" s="70">
        <f>+H65</f>
        <v>2524234298</v>
      </c>
      <c r="X9" s="70" t="str">
        <f>+H64</f>
        <v>Por definir</v>
      </c>
      <c r="Y9" s="70">
        <f>SUM(E9:X9)</f>
        <v>20193874384</v>
      </c>
      <c r="Z9" s="67"/>
    </row>
    <row r="10" spans="1:26" s="40" customFormat="1" ht="24.75" customHeight="1" x14ac:dyDescent="0.25">
      <c r="A10" s="102"/>
      <c r="B10" s="64" t="s">
        <v>33</v>
      </c>
      <c r="C10" s="64"/>
      <c r="D10" s="64"/>
      <c r="E10" s="72"/>
      <c r="F10" s="72"/>
      <c r="G10" s="72"/>
      <c r="H10" s="72"/>
      <c r="I10" s="72"/>
      <c r="J10" s="72"/>
      <c r="K10" s="72"/>
      <c r="L10" s="72"/>
      <c r="M10" s="72"/>
      <c r="N10" s="72"/>
      <c r="O10" s="72"/>
      <c r="P10" s="72"/>
      <c r="Q10" s="72"/>
      <c r="R10" s="72"/>
      <c r="S10" s="72"/>
      <c r="T10" s="72"/>
      <c r="U10" s="72"/>
      <c r="V10" s="72"/>
      <c r="W10" s="72"/>
      <c r="X10" s="72"/>
      <c r="Y10" s="72"/>
      <c r="Z10" s="67"/>
    </row>
    <row r="11" spans="1:26" s="76" customFormat="1" ht="24.75" customHeight="1" x14ac:dyDescent="0.25">
      <c r="A11" s="103"/>
      <c r="B11" s="73"/>
      <c r="C11" s="73"/>
      <c r="D11" s="73"/>
      <c r="E11" s="73"/>
      <c r="F11" s="74"/>
      <c r="G11" s="75"/>
      <c r="H11" s="74"/>
      <c r="I11" s="74"/>
      <c r="J11" s="74"/>
      <c r="K11" s="74"/>
      <c r="L11" s="74"/>
      <c r="M11" s="74"/>
      <c r="N11" s="74"/>
      <c r="O11" s="74"/>
      <c r="P11" s="74"/>
      <c r="Q11" s="74"/>
      <c r="R11" s="74"/>
      <c r="S11" s="74"/>
      <c r="T11" s="74"/>
      <c r="U11" s="74"/>
      <c r="V11" s="74"/>
      <c r="W11" s="74"/>
      <c r="X11" s="74"/>
      <c r="Y11" s="74"/>
      <c r="Z11" s="74"/>
    </row>
    <row r="13" spans="1:26" s="103" customFormat="1" ht="14.45" customHeight="1" x14ac:dyDescent="0.25">
      <c r="B13" s="717" t="str">
        <f>B8</f>
        <v>8.1. Fortalecimiento de los procesos I+D+i para la cadena de maíz y sus derivados.</v>
      </c>
      <c r="C13" s="718"/>
      <c r="D13" s="718"/>
      <c r="E13" s="718"/>
      <c r="F13" s="718"/>
      <c r="G13" s="718"/>
      <c r="H13" s="718"/>
      <c r="I13" s="340"/>
      <c r="X13" s="78"/>
    </row>
    <row r="14" spans="1:26" s="103" customFormat="1" ht="14.45" customHeight="1" x14ac:dyDescent="0.25">
      <c r="B14" s="719"/>
      <c r="C14" s="719"/>
      <c r="D14" s="719"/>
      <c r="E14" s="719"/>
      <c r="F14" s="719"/>
      <c r="G14" s="719"/>
      <c r="H14" s="719"/>
      <c r="I14" s="340"/>
      <c r="X14" s="78"/>
    </row>
    <row r="15" spans="1:26" ht="15" x14ac:dyDescent="0.25">
      <c r="B15" s="79" t="s">
        <v>79</v>
      </c>
      <c r="C15" s="79" t="s">
        <v>59</v>
      </c>
      <c r="D15" s="79" t="s">
        <v>56</v>
      </c>
      <c r="E15" s="79" t="s">
        <v>55</v>
      </c>
      <c r="F15" s="80" t="s">
        <v>108</v>
      </c>
      <c r="G15" s="79" t="s">
        <v>81</v>
      </c>
      <c r="H15" s="79" t="s">
        <v>82</v>
      </c>
      <c r="X15" s="81"/>
    </row>
    <row r="16" spans="1:26" x14ac:dyDescent="0.2">
      <c r="B16" s="162" t="s">
        <v>83</v>
      </c>
      <c r="C16" s="49">
        <v>4</v>
      </c>
      <c r="D16" s="49" t="s">
        <v>84</v>
      </c>
      <c r="E16" s="196">
        <v>500000</v>
      </c>
      <c r="F16" s="49"/>
      <c r="G16" s="49"/>
      <c r="H16" s="151">
        <f>+C16*E16</f>
        <v>2000000</v>
      </c>
      <c r="I16" s="53"/>
    </row>
    <row r="17" spans="2:9" x14ac:dyDescent="0.2">
      <c r="B17" s="162" t="s">
        <v>85</v>
      </c>
      <c r="C17" s="49">
        <v>7</v>
      </c>
      <c r="D17" s="49" t="s">
        <v>84</v>
      </c>
      <c r="E17" s="196">
        <v>100000</v>
      </c>
      <c r="F17" s="49"/>
      <c r="G17" s="49"/>
      <c r="H17" s="151">
        <f>+C17*E17</f>
        <v>700000</v>
      </c>
      <c r="I17" s="53"/>
    </row>
    <row r="18" spans="2:9" x14ac:dyDescent="0.2">
      <c r="B18" s="162" t="s">
        <v>294</v>
      </c>
      <c r="C18" s="49">
        <v>4</v>
      </c>
      <c r="D18" s="49" t="s">
        <v>84</v>
      </c>
      <c r="E18" s="196">
        <v>2300000</v>
      </c>
      <c r="F18" s="49"/>
      <c r="G18" s="49"/>
      <c r="H18" s="151">
        <f>+C18*E18</f>
        <v>9200000</v>
      </c>
      <c r="I18" s="53"/>
    </row>
    <row r="19" spans="2:9" x14ac:dyDescent="0.2">
      <c r="B19" s="162" t="s">
        <v>290</v>
      </c>
      <c r="C19" s="49">
        <v>7</v>
      </c>
      <c r="D19" s="49" t="s">
        <v>84</v>
      </c>
      <c r="E19" s="196">
        <v>2300000</v>
      </c>
      <c r="F19" s="49"/>
      <c r="G19" s="49"/>
      <c r="H19" s="151">
        <f>+C19*E19</f>
        <v>16100000</v>
      </c>
      <c r="I19" s="53"/>
    </row>
    <row r="20" spans="2:9" x14ac:dyDescent="0.2">
      <c r="B20" s="162" t="s">
        <v>302</v>
      </c>
      <c r="C20" s="49">
        <v>19</v>
      </c>
      <c r="D20" s="49" t="s">
        <v>84</v>
      </c>
      <c r="E20" s="150">
        <v>460000</v>
      </c>
      <c r="F20" s="49"/>
      <c r="G20" s="49"/>
      <c r="H20" s="151">
        <f>+C20*E20</f>
        <v>8740000</v>
      </c>
      <c r="I20" s="53"/>
    </row>
    <row r="21" spans="2:9" x14ac:dyDescent="0.2">
      <c r="B21" s="162" t="s">
        <v>230</v>
      </c>
      <c r="C21" s="49">
        <v>4</v>
      </c>
      <c r="D21" s="49" t="s">
        <v>196</v>
      </c>
      <c r="E21" s="150">
        <v>9907096</v>
      </c>
      <c r="F21" s="97">
        <v>1</v>
      </c>
      <c r="G21" s="49">
        <v>12</v>
      </c>
      <c r="H21" s="151">
        <f>+C21*E21*F21*G21</f>
        <v>475540608</v>
      </c>
      <c r="I21" s="53"/>
    </row>
    <row r="22" spans="2:9" x14ac:dyDescent="0.2">
      <c r="B22" s="162" t="s">
        <v>91</v>
      </c>
      <c r="C22" s="49">
        <v>3</v>
      </c>
      <c r="D22" s="49" t="s">
        <v>84</v>
      </c>
      <c r="E22" s="150">
        <v>2774088</v>
      </c>
      <c r="F22" s="49"/>
      <c r="G22" s="49">
        <v>3</v>
      </c>
      <c r="H22" s="151">
        <f>+C22*E22*G22</f>
        <v>24966792</v>
      </c>
      <c r="I22" s="53"/>
    </row>
    <row r="23" spans="2:9" x14ac:dyDescent="0.2">
      <c r="B23" s="163" t="s">
        <v>312</v>
      </c>
      <c r="C23" s="49">
        <v>4</v>
      </c>
      <c r="D23" s="49" t="s">
        <v>185</v>
      </c>
      <c r="E23" s="150">
        <v>2000000</v>
      </c>
      <c r="F23" s="97"/>
      <c r="G23" s="49">
        <v>4</v>
      </c>
      <c r="H23" s="151">
        <f>+C23*E23*G23</f>
        <v>32000000</v>
      </c>
      <c r="I23" s="53"/>
    </row>
    <row r="24" spans="2:9" x14ac:dyDescent="0.2">
      <c r="B24" s="163" t="s">
        <v>313</v>
      </c>
      <c r="C24" s="49">
        <v>4</v>
      </c>
      <c r="D24" s="49" t="s">
        <v>196</v>
      </c>
      <c r="E24" s="189">
        <v>2967610</v>
      </c>
      <c r="F24" s="391"/>
      <c r="G24" s="47">
        <v>3</v>
      </c>
      <c r="H24" s="151">
        <f>+C24*E24*G24</f>
        <v>35611320</v>
      </c>
      <c r="I24" s="53"/>
    </row>
    <row r="25" spans="2:9" x14ac:dyDescent="0.2">
      <c r="B25" s="162" t="s">
        <v>249</v>
      </c>
      <c r="C25" s="49">
        <v>7</v>
      </c>
      <c r="D25" s="49" t="s">
        <v>308</v>
      </c>
      <c r="E25" s="150">
        <v>6604729</v>
      </c>
      <c r="F25" s="97">
        <v>1</v>
      </c>
      <c r="G25" s="49">
        <v>12</v>
      </c>
      <c r="H25" s="151">
        <f>+C25*E25*F25*G25</f>
        <v>554797236</v>
      </c>
      <c r="I25" s="53"/>
    </row>
    <row r="26" spans="2:9" x14ac:dyDescent="0.2">
      <c r="B26" s="49" t="s">
        <v>57</v>
      </c>
      <c r="C26" s="49">
        <v>7</v>
      </c>
      <c r="D26" s="49" t="s">
        <v>185</v>
      </c>
      <c r="E26" s="150">
        <v>1300000</v>
      </c>
      <c r="F26" s="49"/>
      <c r="G26" s="49">
        <v>12</v>
      </c>
      <c r="H26" s="151">
        <f>+C26*E26*G26</f>
        <v>109200000</v>
      </c>
      <c r="I26" s="53"/>
    </row>
    <row r="27" spans="2:9" x14ac:dyDescent="0.2">
      <c r="B27" s="49" t="s">
        <v>194</v>
      </c>
      <c r="C27" s="49">
        <f>+C25</f>
        <v>7</v>
      </c>
      <c r="D27" s="49" t="s">
        <v>185</v>
      </c>
      <c r="E27" s="150">
        <v>155000</v>
      </c>
      <c r="F27" s="49"/>
      <c r="G27" s="49">
        <v>12</v>
      </c>
      <c r="H27" s="151">
        <f>+C27*E27*G27</f>
        <v>13020000</v>
      </c>
      <c r="I27" s="53"/>
    </row>
    <row r="28" spans="2:9" x14ac:dyDescent="0.2">
      <c r="B28" s="163" t="s">
        <v>383</v>
      </c>
      <c r="C28" s="49">
        <v>7</v>
      </c>
      <c r="D28" s="49" t="s">
        <v>314</v>
      </c>
      <c r="E28" s="150">
        <v>8954882.5200000014</v>
      </c>
      <c r="F28" s="97"/>
      <c r="G28" s="49"/>
      <c r="H28" s="151">
        <f>+C28*E28</f>
        <v>62684177.640000008</v>
      </c>
      <c r="I28" s="53"/>
    </row>
    <row r="29" spans="2:9" x14ac:dyDescent="0.2">
      <c r="B29" s="163" t="s">
        <v>384</v>
      </c>
      <c r="C29" s="49">
        <v>3</v>
      </c>
      <c r="D29" s="49" t="s">
        <v>314</v>
      </c>
      <c r="E29" s="150">
        <v>19476574.949999999</v>
      </c>
      <c r="F29" s="97"/>
      <c r="G29" s="49"/>
      <c r="H29" s="151">
        <f>+C29*E29</f>
        <v>58429724.849999994</v>
      </c>
      <c r="I29" s="53"/>
    </row>
    <row r="30" spans="2:9" x14ac:dyDescent="0.2">
      <c r="B30" s="163" t="s">
        <v>385</v>
      </c>
      <c r="C30" s="49">
        <v>2</v>
      </c>
      <c r="D30" s="49" t="s">
        <v>314</v>
      </c>
      <c r="E30" s="150">
        <v>39597849.755999997</v>
      </c>
      <c r="F30" s="97"/>
      <c r="G30" s="49"/>
      <c r="H30" s="151">
        <f>+C30*E30</f>
        <v>79195699.511999995</v>
      </c>
      <c r="I30" s="53"/>
    </row>
    <row r="31" spans="2:9" x14ac:dyDescent="0.2">
      <c r="B31" s="163" t="s">
        <v>315</v>
      </c>
      <c r="C31" s="49"/>
      <c r="D31" s="49"/>
      <c r="E31" s="150"/>
      <c r="F31" s="97"/>
      <c r="G31" s="49"/>
      <c r="H31" s="151" t="s">
        <v>78</v>
      </c>
      <c r="I31" s="53"/>
    </row>
    <row r="32" spans="2:9" x14ac:dyDescent="0.2">
      <c r="B32" s="199" t="s">
        <v>316</v>
      </c>
      <c r="C32" s="49"/>
      <c r="D32" s="49"/>
      <c r="E32" s="150"/>
      <c r="F32" s="49"/>
      <c r="G32" s="49"/>
      <c r="H32" s="151" t="s">
        <v>78</v>
      </c>
      <c r="I32" s="53"/>
    </row>
    <row r="33" spans="1:10" ht="15" x14ac:dyDescent="0.25">
      <c r="B33" s="86" t="s">
        <v>33</v>
      </c>
      <c r="C33" s="87"/>
      <c r="D33" s="87"/>
      <c r="E33" s="87"/>
      <c r="F33" s="88"/>
      <c r="G33" s="88"/>
      <c r="H33" s="115">
        <f>SUM(H16:H32)</f>
        <v>1482185558.0020001</v>
      </c>
      <c r="I33" s="138"/>
      <c r="J33" s="103"/>
    </row>
    <row r="34" spans="1:10" ht="15" x14ac:dyDescent="0.25">
      <c r="B34" s="86" t="s">
        <v>292</v>
      </c>
      <c r="C34" s="87"/>
      <c r="D34" s="87"/>
      <c r="E34" s="87"/>
      <c r="F34" s="88"/>
      <c r="G34" s="88"/>
      <c r="H34" s="115">
        <f>+H33/12</f>
        <v>123515463.16683334</v>
      </c>
      <c r="I34" s="138"/>
      <c r="J34" s="103"/>
    </row>
    <row r="35" spans="1:10" s="103" customFormat="1" ht="245.25" customHeight="1" x14ac:dyDescent="0.2">
      <c r="B35" s="197" t="s">
        <v>386</v>
      </c>
      <c r="C35" s="90"/>
      <c r="D35" s="90"/>
      <c r="E35" s="90"/>
      <c r="F35" s="90"/>
      <c r="G35" s="90"/>
      <c r="H35" s="90"/>
    </row>
    <row r="36" spans="1:10" ht="15" x14ac:dyDescent="0.25">
      <c r="B36" s="339"/>
      <c r="C36" s="339"/>
      <c r="D36" s="339"/>
      <c r="E36" s="339"/>
      <c r="F36" s="339"/>
      <c r="G36" s="339"/>
      <c r="H36" s="339"/>
      <c r="I36" s="91"/>
    </row>
    <row r="37" spans="1:10" ht="15" x14ac:dyDescent="0.25">
      <c r="B37" s="339"/>
      <c r="C37" s="339"/>
      <c r="D37" s="339"/>
      <c r="E37" s="339"/>
      <c r="F37" s="339"/>
      <c r="G37" s="339"/>
      <c r="H37" s="339"/>
      <c r="I37" s="91"/>
    </row>
    <row r="38" spans="1:10" s="103" customFormat="1" ht="21.75" customHeight="1" x14ac:dyDescent="0.2">
      <c r="A38" s="92"/>
      <c r="B38" s="720" t="str">
        <f>B9</f>
        <v>8.2. Fortalecimiento del talento humano en I+D+i, y en extensionismo agrícola e industrial.</v>
      </c>
      <c r="C38" s="721"/>
      <c r="D38" s="721"/>
      <c r="E38" s="721"/>
      <c r="F38" s="721"/>
      <c r="G38" s="721"/>
      <c r="H38" s="721"/>
      <c r="I38" s="102"/>
    </row>
    <row r="39" spans="1:10" ht="15" x14ac:dyDescent="0.25">
      <c r="B39" s="79" t="s">
        <v>79</v>
      </c>
      <c r="C39" s="79" t="s">
        <v>59</v>
      </c>
      <c r="D39" s="79" t="s">
        <v>56</v>
      </c>
      <c r="E39" s="79" t="s">
        <v>55</v>
      </c>
      <c r="F39" s="79" t="s">
        <v>80</v>
      </c>
      <c r="G39" s="79" t="s">
        <v>81</v>
      </c>
      <c r="H39" s="79" t="s">
        <v>82</v>
      </c>
    </row>
    <row r="40" spans="1:10" s="103" customFormat="1" x14ac:dyDescent="0.2">
      <c r="A40" s="93"/>
      <c r="B40" s="291" t="s">
        <v>83</v>
      </c>
      <c r="C40" s="105">
        <v>4</v>
      </c>
      <c r="D40" s="105" t="s">
        <v>84</v>
      </c>
      <c r="E40" s="82">
        <v>500000</v>
      </c>
      <c r="F40" s="105"/>
      <c r="G40" s="105"/>
      <c r="H40" s="82">
        <f>+C40*E40</f>
        <v>2000000</v>
      </c>
      <c r="I40" s="53"/>
    </row>
    <row r="41" spans="1:10" s="103" customFormat="1" x14ac:dyDescent="0.2">
      <c r="B41" s="407" t="s">
        <v>85</v>
      </c>
      <c r="C41" s="47">
        <v>19</v>
      </c>
      <c r="D41" s="47" t="s">
        <v>84</v>
      </c>
      <c r="E41" s="151">
        <v>100000</v>
      </c>
      <c r="F41" s="47"/>
      <c r="G41" s="47"/>
      <c r="H41" s="151">
        <f t="shared" ref="H41:H56" si="3">+C41*E41</f>
        <v>1900000</v>
      </c>
      <c r="I41" s="53"/>
    </row>
    <row r="42" spans="1:10" s="103" customFormat="1" x14ac:dyDescent="0.2">
      <c r="A42" s="93"/>
      <c r="B42" s="290" t="s">
        <v>294</v>
      </c>
      <c r="C42" s="47">
        <v>4</v>
      </c>
      <c r="D42" s="47" t="s">
        <v>84</v>
      </c>
      <c r="E42" s="151">
        <v>2300000</v>
      </c>
      <c r="F42" s="47"/>
      <c r="G42" s="47"/>
      <c r="H42" s="151">
        <f t="shared" si="3"/>
        <v>9200000</v>
      </c>
      <c r="I42" s="53"/>
    </row>
    <row r="43" spans="1:10" s="103" customFormat="1" x14ac:dyDescent="0.2">
      <c r="A43" s="93"/>
      <c r="B43" s="290" t="s">
        <v>290</v>
      </c>
      <c r="C43" s="47">
        <v>7</v>
      </c>
      <c r="D43" s="47" t="s">
        <v>84</v>
      </c>
      <c r="E43" s="151">
        <v>2300000</v>
      </c>
      <c r="F43" s="47"/>
      <c r="G43" s="47"/>
      <c r="H43" s="151">
        <f t="shared" si="3"/>
        <v>16100000</v>
      </c>
      <c r="I43" s="53"/>
    </row>
    <row r="44" spans="1:10" s="103" customFormat="1" x14ac:dyDescent="0.2">
      <c r="B44" s="290" t="s">
        <v>302</v>
      </c>
      <c r="C44" s="47">
        <v>19</v>
      </c>
      <c r="D44" s="47" t="s">
        <v>84</v>
      </c>
      <c r="E44" s="151">
        <v>460000</v>
      </c>
      <c r="F44" s="47"/>
      <c r="G44" s="47"/>
      <c r="H44" s="151">
        <f t="shared" si="3"/>
        <v>8740000</v>
      </c>
      <c r="I44" s="53"/>
    </row>
    <row r="45" spans="1:10" s="103" customFormat="1" x14ac:dyDescent="0.2">
      <c r="B45" s="290" t="s">
        <v>208</v>
      </c>
      <c r="C45" s="47">
        <v>4</v>
      </c>
      <c r="D45" s="47" t="s">
        <v>84</v>
      </c>
      <c r="E45" s="151">
        <v>2000000</v>
      </c>
      <c r="F45" s="47"/>
      <c r="G45" s="47"/>
      <c r="H45" s="151">
        <f>+C45*E45</f>
        <v>8000000</v>
      </c>
      <c r="I45" s="53"/>
    </row>
    <row r="46" spans="1:10" s="103" customFormat="1" x14ac:dyDescent="0.2">
      <c r="B46" s="290" t="s">
        <v>305</v>
      </c>
      <c r="C46" s="47">
        <v>19</v>
      </c>
      <c r="D46" s="47" t="s">
        <v>84</v>
      </c>
      <c r="E46" s="151">
        <v>5170000</v>
      </c>
      <c r="F46" s="47"/>
      <c r="G46" s="47"/>
      <c r="H46" s="151">
        <f>+C46*E46</f>
        <v>98230000</v>
      </c>
      <c r="I46" s="53"/>
    </row>
    <row r="47" spans="1:10" s="103" customFormat="1" x14ac:dyDescent="0.2">
      <c r="B47" s="290" t="s">
        <v>255</v>
      </c>
      <c r="C47" s="47">
        <v>19</v>
      </c>
      <c r="D47" s="47" t="s">
        <v>84</v>
      </c>
      <c r="E47" s="151">
        <v>3270000</v>
      </c>
      <c r="F47" s="47"/>
      <c r="G47" s="47"/>
      <c r="H47" s="151">
        <f>+C47*E47</f>
        <v>62130000</v>
      </c>
      <c r="I47" s="53"/>
    </row>
    <row r="48" spans="1:10" x14ac:dyDescent="0.2">
      <c r="B48" s="408" t="s">
        <v>87</v>
      </c>
      <c r="C48" s="47">
        <v>19</v>
      </c>
      <c r="D48" s="47" t="s">
        <v>297</v>
      </c>
      <c r="E48" s="189">
        <v>6000000</v>
      </c>
      <c r="F48" s="47"/>
      <c r="G48" s="47"/>
      <c r="H48" s="151">
        <f>+C48*E48</f>
        <v>114000000</v>
      </c>
      <c r="I48" s="53"/>
    </row>
    <row r="49" spans="2:9" x14ac:dyDescent="0.2">
      <c r="B49" s="408" t="s">
        <v>88</v>
      </c>
      <c r="C49" s="47">
        <f>+C48*5</f>
        <v>95</v>
      </c>
      <c r="D49" s="47" t="s">
        <v>84</v>
      </c>
      <c r="E49" s="189">
        <v>1800000</v>
      </c>
      <c r="F49" s="47"/>
      <c r="G49" s="47"/>
      <c r="H49" s="151">
        <f t="shared" si="3"/>
        <v>171000000</v>
      </c>
      <c r="I49" s="53"/>
    </row>
    <row r="50" spans="2:9" x14ac:dyDescent="0.2">
      <c r="B50" s="407" t="s">
        <v>178</v>
      </c>
      <c r="C50" s="47">
        <v>19</v>
      </c>
      <c r="D50" s="47" t="s">
        <v>308</v>
      </c>
      <c r="E50" s="189">
        <v>1500000</v>
      </c>
      <c r="F50" s="409"/>
      <c r="G50" s="47"/>
      <c r="H50" s="151">
        <f t="shared" si="3"/>
        <v>28500000</v>
      </c>
      <c r="I50" s="53"/>
    </row>
    <row r="51" spans="2:9" x14ac:dyDescent="0.2">
      <c r="B51" s="407" t="s">
        <v>89</v>
      </c>
      <c r="C51" s="47">
        <f>+C50*5</f>
        <v>95</v>
      </c>
      <c r="D51" s="47" t="s">
        <v>84</v>
      </c>
      <c r="E51" s="189">
        <v>450000</v>
      </c>
      <c r="F51" s="391"/>
      <c r="G51" s="47"/>
      <c r="H51" s="151">
        <f t="shared" si="3"/>
        <v>42750000</v>
      </c>
      <c r="I51" s="53"/>
    </row>
    <row r="52" spans="2:9" x14ac:dyDescent="0.2">
      <c r="B52" s="407" t="s">
        <v>191</v>
      </c>
      <c r="C52" s="47">
        <v>19</v>
      </c>
      <c r="D52" s="47" t="s">
        <v>308</v>
      </c>
      <c r="E52" s="189">
        <v>3000000</v>
      </c>
      <c r="F52" s="391"/>
      <c r="G52" s="47"/>
      <c r="H52" s="151">
        <f t="shared" si="3"/>
        <v>57000000</v>
      </c>
      <c r="I52" s="53"/>
    </row>
    <row r="53" spans="2:9" x14ac:dyDescent="0.2">
      <c r="B53" s="407" t="s">
        <v>307</v>
      </c>
      <c r="C53" s="47">
        <f>+C52*5</f>
        <v>95</v>
      </c>
      <c r="D53" s="47" t="s">
        <v>84</v>
      </c>
      <c r="E53" s="189">
        <v>900000</v>
      </c>
      <c r="F53" s="391"/>
      <c r="G53" s="47"/>
      <c r="H53" s="151">
        <f t="shared" si="3"/>
        <v>85500000</v>
      </c>
      <c r="I53" s="53"/>
    </row>
    <row r="54" spans="2:9" x14ac:dyDescent="0.2">
      <c r="B54" s="407" t="s">
        <v>317</v>
      </c>
      <c r="C54" s="47">
        <v>7</v>
      </c>
      <c r="D54" s="47" t="s">
        <v>308</v>
      </c>
      <c r="E54" s="189">
        <v>30000000</v>
      </c>
      <c r="F54" s="391">
        <v>0.3</v>
      </c>
      <c r="G54" s="47"/>
      <c r="H54" s="151">
        <f t="shared" si="3"/>
        <v>210000000</v>
      </c>
      <c r="I54" s="53"/>
    </row>
    <row r="55" spans="2:9" x14ac:dyDescent="0.2">
      <c r="B55" s="407" t="s">
        <v>318</v>
      </c>
      <c r="C55" s="47">
        <v>7</v>
      </c>
      <c r="D55" s="47" t="s">
        <v>308</v>
      </c>
      <c r="E55" s="189">
        <v>45000000</v>
      </c>
      <c r="F55" s="391">
        <v>0.3</v>
      </c>
      <c r="G55" s="47"/>
      <c r="H55" s="151">
        <f t="shared" si="3"/>
        <v>315000000</v>
      </c>
      <c r="I55" s="53"/>
    </row>
    <row r="56" spans="2:9" x14ac:dyDescent="0.2">
      <c r="B56" s="407" t="s">
        <v>319</v>
      </c>
      <c r="C56" s="47">
        <v>4</v>
      </c>
      <c r="D56" s="47" t="s">
        <v>308</v>
      </c>
      <c r="E56" s="189">
        <v>100000000</v>
      </c>
      <c r="F56" s="391">
        <v>0.3</v>
      </c>
      <c r="G56" s="47"/>
      <c r="H56" s="151">
        <f t="shared" si="3"/>
        <v>400000000</v>
      </c>
      <c r="I56" s="53"/>
    </row>
    <row r="57" spans="2:9" x14ac:dyDescent="0.2">
      <c r="B57" s="407" t="s">
        <v>90</v>
      </c>
      <c r="C57" s="47">
        <v>2</v>
      </c>
      <c r="D57" s="47" t="s">
        <v>308</v>
      </c>
      <c r="E57" s="189">
        <v>7862772</v>
      </c>
      <c r="F57" s="391">
        <v>1</v>
      </c>
      <c r="G57" s="47">
        <v>12</v>
      </c>
      <c r="H57" s="151">
        <f>+C57*E57*F57*G57</f>
        <v>188706528</v>
      </c>
      <c r="I57" s="53"/>
    </row>
    <row r="58" spans="2:9" x14ac:dyDescent="0.2">
      <c r="B58" s="407" t="s">
        <v>91</v>
      </c>
      <c r="C58" s="47">
        <v>2</v>
      </c>
      <c r="D58" s="47" t="s">
        <v>185</v>
      </c>
      <c r="E58" s="189">
        <v>2282805</v>
      </c>
      <c r="F58" s="47"/>
      <c r="G58" s="47">
        <v>3</v>
      </c>
      <c r="H58" s="151">
        <f>+C58*E58*G58</f>
        <v>13696830</v>
      </c>
      <c r="I58" s="53"/>
    </row>
    <row r="59" spans="2:9" x14ac:dyDescent="0.2">
      <c r="B59" s="407" t="s">
        <v>320</v>
      </c>
      <c r="C59" s="47">
        <v>2</v>
      </c>
      <c r="D59" s="47" t="s">
        <v>185</v>
      </c>
      <c r="E59" s="189">
        <v>2000000</v>
      </c>
      <c r="F59" s="47"/>
      <c r="G59" s="47">
        <v>2</v>
      </c>
      <c r="H59" s="151">
        <f>+C59*E59*G59</f>
        <v>8000000</v>
      </c>
      <c r="I59" s="53"/>
    </row>
    <row r="60" spans="2:9" x14ac:dyDescent="0.2">
      <c r="B60" s="407" t="s">
        <v>313</v>
      </c>
      <c r="C60" s="47">
        <v>2</v>
      </c>
      <c r="D60" s="47" t="s">
        <v>185</v>
      </c>
      <c r="E60" s="189">
        <v>1690926</v>
      </c>
      <c r="F60" s="47"/>
      <c r="G60" s="47">
        <v>2</v>
      </c>
      <c r="H60" s="151">
        <f>+C60*E60*G60</f>
        <v>6763704</v>
      </c>
      <c r="I60" s="53"/>
    </row>
    <row r="61" spans="2:9" x14ac:dyDescent="0.2">
      <c r="B61" s="407" t="s">
        <v>249</v>
      </c>
      <c r="C61" s="47">
        <v>7</v>
      </c>
      <c r="D61" s="47" t="s">
        <v>308</v>
      </c>
      <c r="E61" s="189">
        <v>6604729</v>
      </c>
      <c r="F61" s="391">
        <v>1</v>
      </c>
      <c r="G61" s="47">
        <v>12</v>
      </c>
      <c r="H61" s="151">
        <f>+C61*E61*F61*G61</f>
        <v>554797236</v>
      </c>
      <c r="I61" s="53"/>
    </row>
    <row r="62" spans="2:9" x14ac:dyDescent="0.2">
      <c r="B62" s="407" t="s">
        <v>57</v>
      </c>
      <c r="C62" s="47">
        <f>+C61</f>
        <v>7</v>
      </c>
      <c r="D62" s="47" t="s">
        <v>185</v>
      </c>
      <c r="E62" s="189">
        <v>1300000</v>
      </c>
      <c r="F62" s="47"/>
      <c r="G62" s="47">
        <v>12</v>
      </c>
      <c r="H62" s="151">
        <f>+C62*E62*G62</f>
        <v>109200000</v>
      </c>
      <c r="I62" s="53"/>
    </row>
    <row r="63" spans="2:9" x14ac:dyDescent="0.2">
      <c r="B63" s="407" t="s">
        <v>194</v>
      </c>
      <c r="C63" s="47">
        <f>+C61</f>
        <v>7</v>
      </c>
      <c r="D63" s="47" t="s">
        <v>185</v>
      </c>
      <c r="E63" s="189">
        <v>155000</v>
      </c>
      <c r="F63" s="47"/>
      <c r="G63" s="47">
        <v>12</v>
      </c>
      <c r="H63" s="151">
        <f>+C63*E63*G63</f>
        <v>13020000</v>
      </c>
      <c r="I63" s="53"/>
    </row>
    <row r="64" spans="2:9" x14ac:dyDescent="0.2">
      <c r="B64" s="407" t="s">
        <v>321</v>
      </c>
      <c r="C64" s="410"/>
      <c r="D64" s="410"/>
      <c r="E64" s="200"/>
      <c r="F64" s="411"/>
      <c r="G64" s="410"/>
      <c r="H64" s="200" t="s">
        <v>78</v>
      </c>
      <c r="I64" s="53"/>
    </row>
    <row r="65" spans="2:9" ht="15" x14ac:dyDescent="0.25">
      <c r="B65" s="86" t="s">
        <v>96</v>
      </c>
      <c r="C65" s="87"/>
      <c r="D65" s="87"/>
      <c r="E65" s="88"/>
      <c r="F65" s="88"/>
      <c r="G65" s="87"/>
      <c r="H65" s="99">
        <f>SUM(H40:H64)</f>
        <v>2524234298</v>
      </c>
      <c r="I65" s="53"/>
    </row>
    <row r="66" spans="2:9" ht="15" x14ac:dyDescent="0.25">
      <c r="B66" s="86" t="s">
        <v>292</v>
      </c>
      <c r="C66" s="87"/>
      <c r="D66" s="87"/>
      <c r="E66" s="88"/>
      <c r="F66" s="88"/>
      <c r="G66" s="87"/>
      <c r="H66" s="99">
        <f>+H65/12</f>
        <v>210352858.16666666</v>
      </c>
      <c r="I66" s="53"/>
    </row>
    <row r="67" spans="2:9" ht="199.5" customHeight="1" x14ac:dyDescent="0.2">
      <c r="B67" s="201" t="s">
        <v>387</v>
      </c>
      <c r="C67" s="103"/>
      <c r="D67" s="103"/>
      <c r="E67" s="103"/>
      <c r="F67" s="78"/>
      <c r="G67" s="78"/>
      <c r="H67" s="103"/>
    </row>
    <row r="68" spans="2:9" x14ac:dyDescent="0.2">
      <c r="B68" s="103"/>
      <c r="C68" s="103"/>
      <c r="D68" s="103"/>
      <c r="E68" s="103"/>
      <c r="F68" s="103"/>
      <c r="G68" s="103"/>
    </row>
  </sheetData>
  <sheetProtection algorithmName="SHA-512" hashValue="MI/b1ZqfMI7TswCil/G2OImqXUxeqFJPfwnBmecr6EgcwyEbEBvolLazBLAkhxoIxjoq5zG997EinN70jO3gHQ==" saltValue="4CuaZ13WjWVfiPxCC5nr9A==" spinCount="100000" sheet="1" objects="1" scenarios="1"/>
  <mergeCells count="2">
    <mergeCell ref="B13:H14"/>
    <mergeCell ref="B38:H3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25"/>
  <sheetViews>
    <sheetView showGridLines="0" topLeftCell="P12" zoomScale="70" zoomScaleNormal="70" workbookViewId="0">
      <selection activeCell="AB12" sqref="AB12"/>
    </sheetView>
  </sheetViews>
  <sheetFormatPr baseColWidth="10" defaultColWidth="10.7109375" defaultRowHeight="14.25" x14ac:dyDescent="0.2"/>
  <cols>
    <col min="1" max="1" width="13.42578125" style="228" customWidth="1"/>
    <col min="2" max="2" width="67.42578125" style="228" customWidth="1"/>
    <col min="3" max="3" width="26.42578125" style="228" customWidth="1"/>
    <col min="4" max="4" width="23" style="228" customWidth="1"/>
    <col min="5" max="5" width="22.42578125" style="228" customWidth="1"/>
    <col min="6" max="6" width="20.42578125" style="228" bestFit="1" customWidth="1"/>
    <col min="7" max="7" width="18.42578125" style="228" bestFit="1" customWidth="1"/>
    <col min="8" max="8" width="19.42578125" style="228" bestFit="1" customWidth="1"/>
    <col min="9" max="9" width="21.42578125" style="228" hidden="1" customWidth="1"/>
    <col min="10" max="11" width="17.42578125" style="228" bestFit="1" customWidth="1"/>
    <col min="12" max="12" width="19.140625" style="228" bestFit="1" customWidth="1"/>
    <col min="13" max="13" width="17.42578125" style="228" bestFit="1" customWidth="1"/>
    <col min="14" max="14" width="18.42578125" style="228" bestFit="1" customWidth="1"/>
    <col min="15" max="15" width="17.42578125" style="228" bestFit="1" customWidth="1"/>
    <col min="16" max="16" width="17.42578125" style="228" customWidth="1"/>
    <col min="17" max="17" width="18.42578125" style="228" bestFit="1" customWidth="1"/>
    <col min="18" max="22" width="17.42578125" style="228" bestFit="1" customWidth="1"/>
    <col min="23" max="23" width="18.42578125" style="228" bestFit="1" customWidth="1"/>
    <col min="24" max="24" width="19.140625" style="228" bestFit="1" customWidth="1"/>
    <col min="25" max="25" width="19.85546875" style="228" customWidth="1"/>
    <col min="26" max="26" width="19.140625" style="228" bestFit="1" customWidth="1"/>
    <col min="27" max="27" width="17" style="228" bestFit="1" customWidth="1"/>
    <col min="28" max="28" width="17.85546875" style="228" customWidth="1"/>
    <col min="29" max="16384" width="10.7109375" style="228"/>
  </cols>
  <sheetData>
    <row r="2" spans="1:26" ht="15" x14ac:dyDescent="0.25">
      <c r="A2" s="227" t="s">
        <v>98</v>
      </c>
    </row>
    <row r="3" spans="1:26" s="68" customFormat="1" ht="15" x14ac:dyDescent="0.25">
      <c r="A3" s="229"/>
    </row>
    <row r="4" spans="1:26" ht="21.75" customHeight="1" x14ac:dyDescent="0.25">
      <c r="A4" s="227"/>
      <c r="B4" s="230" t="str">
        <f>'PPP_V3_y Costos'!C23</f>
        <v>9. Fortalecimiento de la gestión institucional de la cadena de maíz</v>
      </c>
      <c r="C4" s="231"/>
      <c r="D4" s="232"/>
    </row>
    <row r="5" spans="1:26" ht="26.25" customHeight="1" x14ac:dyDescent="0.2"/>
    <row r="6" spans="1:26" ht="15" x14ac:dyDescent="0.25">
      <c r="E6" s="233">
        <v>1</v>
      </c>
      <c r="F6" s="233">
        <v>2</v>
      </c>
      <c r="G6" s="233">
        <v>3</v>
      </c>
      <c r="H6" s="233">
        <v>4</v>
      </c>
      <c r="I6" s="233">
        <v>5</v>
      </c>
      <c r="J6" s="233">
        <v>6</v>
      </c>
      <c r="K6" s="233">
        <v>7</v>
      </c>
      <c r="L6" s="233">
        <v>8</v>
      </c>
      <c r="M6" s="233">
        <v>9</v>
      </c>
      <c r="N6" s="233">
        <v>10</v>
      </c>
      <c r="O6" s="233">
        <v>11</v>
      </c>
      <c r="P6" s="233">
        <v>12</v>
      </c>
      <c r="Q6" s="233">
        <v>13</v>
      </c>
      <c r="R6" s="233">
        <v>14</v>
      </c>
      <c r="S6" s="233">
        <v>15</v>
      </c>
      <c r="T6" s="233">
        <v>16</v>
      </c>
      <c r="U6" s="233">
        <v>17</v>
      </c>
      <c r="V6" s="233">
        <v>18</v>
      </c>
      <c r="W6" s="233">
        <v>19</v>
      </c>
      <c r="X6" s="233">
        <v>20</v>
      </c>
      <c r="Y6" s="233" t="s">
        <v>33</v>
      </c>
    </row>
    <row r="7" spans="1:26" s="238" customFormat="1" ht="15" x14ac:dyDescent="0.25">
      <c r="A7" s="228"/>
      <c r="B7" s="234" t="s">
        <v>29</v>
      </c>
      <c r="C7" s="235" t="s">
        <v>77</v>
      </c>
      <c r="D7" s="65" t="s">
        <v>176</v>
      </c>
      <c r="E7" s="236">
        <f t="shared" ref="E7" si="0">SUM(E8:E13)</f>
        <v>2881306180</v>
      </c>
      <c r="F7" s="236">
        <f>SUM(F8:F13)</f>
        <v>2504495959.75</v>
      </c>
      <c r="G7" s="236">
        <f t="shared" ref="G7:X7" si="1">SUM(G8:G13)</f>
        <v>675685534</v>
      </c>
      <c r="H7" s="236">
        <f t="shared" si="1"/>
        <v>0</v>
      </c>
      <c r="I7" s="236">
        <f t="shared" si="1"/>
        <v>0</v>
      </c>
      <c r="J7" s="236">
        <f t="shared" si="1"/>
        <v>1547336232.75</v>
      </c>
      <c r="K7" s="236">
        <f t="shared" si="1"/>
        <v>0</v>
      </c>
      <c r="L7" s="236">
        <f t="shared" si="1"/>
        <v>0</v>
      </c>
      <c r="M7" s="236">
        <f>SUM(M8:M13)</f>
        <v>0</v>
      </c>
      <c r="N7" s="236">
        <f t="shared" si="1"/>
        <v>652978695.75</v>
      </c>
      <c r="O7" s="236">
        <f t="shared" si="1"/>
        <v>894357537</v>
      </c>
      <c r="P7" s="236">
        <f t="shared" si="1"/>
        <v>0</v>
      </c>
      <c r="Q7" s="236">
        <f t="shared" si="1"/>
        <v>0</v>
      </c>
      <c r="R7" s="236">
        <f t="shared" si="1"/>
        <v>0</v>
      </c>
      <c r="S7" s="236">
        <f t="shared" si="1"/>
        <v>652978695.75</v>
      </c>
      <c r="T7" s="236">
        <f t="shared" si="1"/>
        <v>894357537</v>
      </c>
      <c r="U7" s="236">
        <f t="shared" si="1"/>
        <v>0</v>
      </c>
      <c r="V7" s="236">
        <f t="shared" si="1"/>
        <v>0</v>
      </c>
      <c r="W7" s="236">
        <f t="shared" si="1"/>
        <v>0</v>
      </c>
      <c r="X7" s="236">
        <f t="shared" si="1"/>
        <v>982697615.75</v>
      </c>
      <c r="Y7" s="236">
        <f>SUM(E7:X7)</f>
        <v>11686193987.75</v>
      </c>
      <c r="Z7" s="237"/>
    </row>
    <row r="8" spans="1:26" s="71" customFormat="1" ht="53.45" customHeight="1" x14ac:dyDescent="0.2">
      <c r="A8" s="68"/>
      <c r="B8" s="69" t="str">
        <f>'PPP_V3_y Costos'!D23</f>
        <v>9.1. Fortalecimiento del Sistema de Inspección, Vigilancia y Control para la cadena de maíz.</v>
      </c>
      <c r="C8" s="144" t="s">
        <v>272</v>
      </c>
      <c r="D8" s="114" t="s">
        <v>201</v>
      </c>
      <c r="E8" s="145">
        <f>I37*9</f>
        <v>881873797.5</v>
      </c>
      <c r="F8" s="70">
        <f>+H37</f>
        <v>1175831730</v>
      </c>
      <c r="G8" s="114" t="s">
        <v>273</v>
      </c>
      <c r="H8" s="114" t="s">
        <v>273</v>
      </c>
      <c r="I8" s="114" t="s">
        <v>273</v>
      </c>
      <c r="J8" s="114" t="s">
        <v>273</v>
      </c>
      <c r="K8" s="114" t="s">
        <v>273</v>
      </c>
      <c r="L8" s="114" t="s">
        <v>273</v>
      </c>
      <c r="M8" s="114" t="s">
        <v>273</v>
      </c>
      <c r="N8" s="114" t="s">
        <v>273</v>
      </c>
      <c r="O8" s="114" t="s">
        <v>273</v>
      </c>
      <c r="P8" s="114" t="str">
        <f>K8</f>
        <v xml:space="preserve">Por definir </v>
      </c>
      <c r="Q8" s="114" t="s">
        <v>273</v>
      </c>
      <c r="R8" s="114" t="s">
        <v>273</v>
      </c>
      <c r="S8" s="114" t="s">
        <v>273</v>
      </c>
      <c r="T8" s="114" t="s">
        <v>273</v>
      </c>
      <c r="U8" s="70" t="str">
        <f>P8</f>
        <v xml:space="preserve">Por definir </v>
      </c>
      <c r="V8" s="114" t="s">
        <v>273</v>
      </c>
      <c r="W8" s="114" t="s">
        <v>273</v>
      </c>
      <c r="X8" s="114" t="s">
        <v>273</v>
      </c>
      <c r="Y8" s="70">
        <f>SUM(E8:X8)</f>
        <v>2057705527.5</v>
      </c>
      <c r="Z8" s="237"/>
    </row>
    <row r="9" spans="1:26" s="71" customFormat="1" ht="53.45" customHeight="1" x14ac:dyDescent="0.2">
      <c r="A9" s="68"/>
      <c r="B9" s="69" t="str">
        <f>'PPP_V3_y Costos'!D24</f>
        <v>9.2. Diseño y mejora de los instrumentos de financiamiento, comercialización, gestión de riesgos y empresarización para la cadena de maíz.</v>
      </c>
      <c r="C9" s="144" t="s">
        <v>272</v>
      </c>
      <c r="D9" s="114" t="s">
        <v>201</v>
      </c>
      <c r="E9" s="145">
        <f>I52*9</f>
        <v>247289190</v>
      </c>
      <c r="F9" s="114" t="s">
        <v>78</v>
      </c>
      <c r="G9" s="114" t="s">
        <v>273</v>
      </c>
      <c r="H9" s="114" t="s">
        <v>273</v>
      </c>
      <c r="I9" s="114" t="s">
        <v>273</v>
      </c>
      <c r="J9" s="114">
        <f>+H52</f>
        <v>329718920</v>
      </c>
      <c r="K9" s="114"/>
      <c r="L9" s="114"/>
      <c r="M9" s="114"/>
      <c r="N9" s="70"/>
      <c r="O9" s="70">
        <f>+H52</f>
        <v>329718920</v>
      </c>
      <c r="P9" s="70"/>
      <c r="Q9" s="70"/>
      <c r="R9" s="70"/>
      <c r="S9" s="70"/>
      <c r="T9" s="70">
        <f>+H52</f>
        <v>329718920</v>
      </c>
      <c r="U9" s="70"/>
      <c r="V9" s="70"/>
      <c r="W9" s="70"/>
      <c r="X9" s="70">
        <f>+H52</f>
        <v>329718920</v>
      </c>
      <c r="Y9" s="70">
        <f t="shared" ref="Y9:Y13" si="2">SUM(E9:X9)</f>
        <v>1566164870</v>
      </c>
      <c r="Z9" s="237"/>
    </row>
    <row r="10" spans="1:26" s="71" customFormat="1" ht="53.45" customHeight="1" x14ac:dyDescent="0.2">
      <c r="A10" s="68"/>
      <c r="B10" s="69" t="str">
        <f>'PPP_V3_y Costos'!D25</f>
        <v>9.3. Fortalecimiento de mecanismos institucionales para el impulso a las inversiones en producción de maíz a mediana y gran escala.</v>
      </c>
      <c r="C10" s="114" t="s">
        <v>272</v>
      </c>
      <c r="D10" s="71" t="s">
        <v>365</v>
      </c>
      <c r="E10" s="145">
        <f>I75*9</f>
        <v>652978695.75</v>
      </c>
      <c r="F10" s="114">
        <f>E10</f>
        <v>652978695.75</v>
      </c>
      <c r="G10" s="114" t="s">
        <v>273</v>
      </c>
      <c r="H10" s="114" t="s">
        <v>273</v>
      </c>
      <c r="I10" s="114" t="s">
        <v>78</v>
      </c>
      <c r="J10" s="114">
        <f>F10</f>
        <v>652978695.75</v>
      </c>
      <c r="K10" s="114" t="str">
        <f>G10</f>
        <v xml:space="preserve">Por definir </v>
      </c>
      <c r="L10" s="114" t="s">
        <v>78</v>
      </c>
      <c r="M10" s="114" t="s">
        <v>273</v>
      </c>
      <c r="N10" s="70">
        <f>J10</f>
        <v>652978695.75</v>
      </c>
      <c r="O10" s="70" t="str">
        <f>K10</f>
        <v xml:space="preserve">Por definir </v>
      </c>
      <c r="P10" s="70" t="s">
        <v>273</v>
      </c>
      <c r="Q10" s="70" t="s">
        <v>273</v>
      </c>
      <c r="R10" s="70" t="s">
        <v>78</v>
      </c>
      <c r="S10" s="70">
        <f>N10</f>
        <v>652978695.75</v>
      </c>
      <c r="T10" s="70" t="str">
        <f>O10</f>
        <v xml:space="preserve">Por definir </v>
      </c>
      <c r="U10" s="70" t="s">
        <v>78</v>
      </c>
      <c r="V10" s="70" t="s">
        <v>273</v>
      </c>
      <c r="W10" s="70" t="s">
        <v>273</v>
      </c>
      <c r="X10" s="70">
        <f>S10</f>
        <v>652978695.75</v>
      </c>
      <c r="Y10" s="70">
        <f t="shared" si="2"/>
        <v>3917872174.5</v>
      </c>
      <c r="Z10" s="237"/>
    </row>
    <row r="11" spans="1:26" s="71" customFormat="1" ht="53.45" customHeight="1" x14ac:dyDescent="0.2">
      <c r="A11" s="68"/>
      <c r="B11" s="69" t="str">
        <f>'PPP_V3_y Costos'!D26</f>
        <v>9.4. Diseño y operación del Sistema nacional de Información para la cadena de maíz.</v>
      </c>
      <c r="C11" s="144" t="s">
        <v>272</v>
      </c>
      <c r="D11" s="114" t="s">
        <v>201</v>
      </c>
      <c r="E11" s="145">
        <f>I92*9</f>
        <v>423478962.75</v>
      </c>
      <c r="F11" s="70" t="s">
        <v>78</v>
      </c>
      <c r="G11" s="70" t="s">
        <v>273</v>
      </c>
      <c r="H11" s="114" t="s">
        <v>273</v>
      </c>
      <c r="I11" s="114" t="s">
        <v>78</v>
      </c>
      <c r="J11" s="114">
        <f>+H92</f>
        <v>564638617</v>
      </c>
      <c r="K11" s="114" t="s">
        <v>273</v>
      </c>
      <c r="L11" s="114" t="s">
        <v>78</v>
      </c>
      <c r="M11" s="114" t="s">
        <v>273</v>
      </c>
      <c r="N11" s="114" t="s">
        <v>273</v>
      </c>
      <c r="O11" s="114">
        <f>+H92</f>
        <v>564638617</v>
      </c>
      <c r="P11" s="114" t="s">
        <v>273</v>
      </c>
      <c r="Q11" s="114" t="s">
        <v>273</v>
      </c>
      <c r="R11" s="114" t="s">
        <v>78</v>
      </c>
      <c r="S11" s="114" t="s">
        <v>273</v>
      </c>
      <c r="T11" s="114">
        <f>+H92</f>
        <v>564638617</v>
      </c>
      <c r="U11" s="114" t="s">
        <v>78</v>
      </c>
      <c r="V11" s="114" t="s">
        <v>273</v>
      </c>
      <c r="W11" s="114" t="s">
        <v>273</v>
      </c>
      <c r="X11" s="114" t="s">
        <v>273</v>
      </c>
      <c r="Y11" s="70">
        <f t="shared" si="2"/>
        <v>2117394813.75</v>
      </c>
      <c r="Z11" s="237"/>
    </row>
    <row r="12" spans="1:26" s="71" customFormat="1" ht="53.45" customHeight="1" x14ac:dyDescent="0.2">
      <c r="A12" s="68"/>
      <c r="B12" s="69" t="str">
        <f>'PPP_V3_y Costos'!D27</f>
        <v>9.5. Constitución y fortalecimiento de la Organización de Cadena de maíz.</v>
      </c>
      <c r="C12" s="144" t="s">
        <v>274</v>
      </c>
      <c r="D12" s="114" t="s">
        <v>201</v>
      </c>
      <c r="E12" s="145">
        <f>+H108</f>
        <v>320314491</v>
      </c>
      <c r="F12" s="70">
        <f>+H108</f>
        <v>320314491</v>
      </c>
      <c r="G12" s="70">
        <f>+H108</f>
        <v>320314491</v>
      </c>
      <c r="H12" s="114" t="s">
        <v>273</v>
      </c>
      <c r="I12" s="114" t="s">
        <v>273</v>
      </c>
      <c r="J12" s="114" t="s">
        <v>273</v>
      </c>
      <c r="K12" s="114" t="s">
        <v>273</v>
      </c>
      <c r="L12" s="114" t="s">
        <v>273</v>
      </c>
      <c r="M12" s="114" t="s">
        <v>273</v>
      </c>
      <c r="N12" s="114" t="s">
        <v>273</v>
      </c>
      <c r="O12" s="114" t="s">
        <v>273</v>
      </c>
      <c r="P12" s="114" t="s">
        <v>273</v>
      </c>
      <c r="Q12" s="114" t="s">
        <v>273</v>
      </c>
      <c r="R12" s="114" t="s">
        <v>273</v>
      </c>
      <c r="S12" s="114" t="s">
        <v>273</v>
      </c>
      <c r="T12" s="114" t="s">
        <v>273</v>
      </c>
      <c r="U12" s="114" t="s">
        <v>273</v>
      </c>
      <c r="V12" s="114" t="s">
        <v>273</v>
      </c>
      <c r="W12" s="114" t="s">
        <v>273</v>
      </c>
      <c r="X12" s="114" t="s">
        <v>273</v>
      </c>
      <c r="Y12" s="70">
        <f t="shared" si="2"/>
        <v>960943473</v>
      </c>
      <c r="Z12" s="237"/>
    </row>
    <row r="13" spans="1:26" s="71" customFormat="1" ht="42.95" customHeight="1" x14ac:dyDescent="0.2">
      <c r="A13" s="68"/>
      <c r="B13" s="69" t="str">
        <f>'PPP_V3_y Costos'!D28</f>
        <v>9.6. Adopción, promoción y monitoreo de la política pública para la cadena de maíz.</v>
      </c>
      <c r="C13" s="144" t="s">
        <v>274</v>
      </c>
      <c r="D13" s="114" t="s">
        <v>201</v>
      </c>
      <c r="E13" s="146">
        <f>+H124</f>
        <v>355371043</v>
      </c>
      <c r="F13" s="70">
        <f>+H124</f>
        <v>355371043</v>
      </c>
      <c r="G13" s="70">
        <f>+H124</f>
        <v>355371043</v>
      </c>
      <c r="H13" s="114" t="s">
        <v>273</v>
      </c>
      <c r="I13" s="114" t="s">
        <v>273</v>
      </c>
      <c r="J13" s="114" t="s">
        <v>273</v>
      </c>
      <c r="K13" s="114" t="s">
        <v>273</v>
      </c>
      <c r="L13" s="114" t="s">
        <v>273</v>
      </c>
      <c r="M13" s="114" t="s">
        <v>273</v>
      </c>
      <c r="N13" s="114" t="s">
        <v>273</v>
      </c>
      <c r="O13" s="114" t="s">
        <v>273</v>
      </c>
      <c r="P13" s="114" t="s">
        <v>273</v>
      </c>
      <c r="Q13" s="114" t="s">
        <v>273</v>
      </c>
      <c r="R13" s="114" t="s">
        <v>273</v>
      </c>
      <c r="S13" s="114" t="s">
        <v>273</v>
      </c>
      <c r="T13" s="114" t="s">
        <v>273</v>
      </c>
      <c r="U13" s="114" t="s">
        <v>273</v>
      </c>
      <c r="V13" s="114" t="s">
        <v>273</v>
      </c>
      <c r="W13" s="114" t="s">
        <v>273</v>
      </c>
      <c r="X13" s="114" t="s">
        <v>273</v>
      </c>
      <c r="Y13" s="70">
        <f t="shared" si="2"/>
        <v>1066113129</v>
      </c>
      <c r="Z13" s="237"/>
    </row>
    <row r="14" spans="1:26" s="238" customFormat="1" ht="24.75" customHeight="1" x14ac:dyDescent="0.25">
      <c r="A14" s="228"/>
      <c r="B14" s="234" t="s">
        <v>33</v>
      </c>
      <c r="C14" s="234"/>
      <c r="D14" s="234"/>
      <c r="E14" s="239">
        <f>SUM(E8:E13)</f>
        <v>2881306180</v>
      </c>
      <c r="F14" s="239">
        <f t="shared" ref="F14:X14" si="3">SUM(F8:F13)</f>
        <v>2504495959.75</v>
      </c>
      <c r="G14" s="239">
        <f t="shared" si="3"/>
        <v>675685534</v>
      </c>
      <c r="H14" s="239">
        <f t="shared" si="3"/>
        <v>0</v>
      </c>
      <c r="I14" s="239">
        <f t="shared" si="3"/>
        <v>0</v>
      </c>
      <c r="J14" s="239">
        <f t="shared" si="3"/>
        <v>1547336232.75</v>
      </c>
      <c r="K14" s="239">
        <f t="shared" si="3"/>
        <v>0</v>
      </c>
      <c r="L14" s="239">
        <f t="shared" si="3"/>
        <v>0</v>
      </c>
      <c r="M14" s="239">
        <f t="shared" si="3"/>
        <v>0</v>
      </c>
      <c r="N14" s="239">
        <f t="shared" si="3"/>
        <v>652978695.75</v>
      </c>
      <c r="O14" s="239">
        <f t="shared" si="3"/>
        <v>894357537</v>
      </c>
      <c r="P14" s="239">
        <f t="shared" si="3"/>
        <v>0</v>
      </c>
      <c r="Q14" s="239">
        <f t="shared" si="3"/>
        <v>0</v>
      </c>
      <c r="R14" s="239">
        <f t="shared" si="3"/>
        <v>0</v>
      </c>
      <c r="S14" s="239">
        <f t="shared" si="3"/>
        <v>652978695.75</v>
      </c>
      <c r="T14" s="239">
        <f t="shared" si="3"/>
        <v>894357537</v>
      </c>
      <c r="U14" s="239">
        <f t="shared" si="3"/>
        <v>0</v>
      </c>
      <c r="V14" s="239">
        <f t="shared" si="3"/>
        <v>0</v>
      </c>
      <c r="W14" s="239">
        <f t="shared" si="3"/>
        <v>0</v>
      </c>
      <c r="X14" s="239">
        <f t="shared" si="3"/>
        <v>982697615.75</v>
      </c>
      <c r="Y14" s="239">
        <f>SUM(Y8:Y13)</f>
        <v>11686193987.75</v>
      </c>
      <c r="Z14" s="237"/>
    </row>
    <row r="15" spans="1:26" s="243" customFormat="1" ht="24.75" customHeight="1" x14ac:dyDescent="0.25">
      <c r="A15" s="68"/>
      <c r="B15" s="240"/>
      <c r="C15" s="240"/>
      <c r="D15" s="240"/>
      <c r="E15" s="240"/>
      <c r="F15" s="241"/>
      <c r="G15" s="242"/>
      <c r="H15" s="241"/>
      <c r="I15" s="241"/>
      <c r="J15" s="241"/>
      <c r="K15" s="241"/>
      <c r="L15" s="241"/>
      <c r="M15" s="241"/>
      <c r="N15" s="241"/>
      <c r="O15" s="241"/>
      <c r="P15" s="241"/>
      <c r="Q15" s="241"/>
      <c r="R15" s="241"/>
      <c r="S15" s="241"/>
      <c r="T15" s="241"/>
      <c r="U15" s="241"/>
      <c r="V15" s="241"/>
      <c r="W15" s="241"/>
      <c r="X15" s="241"/>
      <c r="Y15" s="241"/>
      <c r="Z15" s="241"/>
    </row>
    <row r="17" spans="2:24" s="68" customFormat="1" ht="14.45" customHeight="1" x14ac:dyDescent="0.25">
      <c r="B17" s="723" t="str">
        <f>B8</f>
        <v>9.1. Fortalecimiento del Sistema de Inspección, Vigilancia y Control para la cadena de maíz.</v>
      </c>
      <c r="C17" s="724"/>
      <c r="D17" s="724"/>
      <c r="E17" s="724"/>
      <c r="F17" s="724"/>
      <c r="G17" s="724"/>
      <c r="H17" s="724"/>
      <c r="I17" s="244"/>
      <c r="X17" s="245"/>
    </row>
    <row r="18" spans="2:24" s="68" customFormat="1" ht="14.45" customHeight="1" x14ac:dyDescent="0.25">
      <c r="B18" s="725"/>
      <c r="C18" s="725"/>
      <c r="D18" s="725"/>
      <c r="E18" s="725"/>
      <c r="F18" s="725"/>
      <c r="G18" s="725"/>
      <c r="H18" s="725"/>
      <c r="I18" s="244"/>
      <c r="X18" s="245"/>
    </row>
    <row r="19" spans="2:24" ht="15" x14ac:dyDescent="0.25">
      <c r="B19" s="246" t="s">
        <v>79</v>
      </c>
      <c r="C19" s="246" t="s">
        <v>59</v>
      </c>
      <c r="D19" s="246" t="s">
        <v>56</v>
      </c>
      <c r="E19" s="246" t="s">
        <v>55</v>
      </c>
      <c r="F19" s="247" t="s">
        <v>108</v>
      </c>
      <c r="G19" s="246" t="s">
        <v>81</v>
      </c>
      <c r="H19" s="246" t="s">
        <v>82</v>
      </c>
      <c r="X19" s="248"/>
    </row>
    <row r="20" spans="2:24" x14ac:dyDescent="0.2">
      <c r="B20" s="105" t="s">
        <v>275</v>
      </c>
      <c r="C20" s="249">
        <v>8</v>
      </c>
      <c r="D20" s="250" t="s">
        <v>276</v>
      </c>
      <c r="E20" s="251">
        <v>2300000</v>
      </c>
      <c r="F20" s="249"/>
      <c r="G20" s="249"/>
      <c r="H20" s="251">
        <f>+C20*E20</f>
        <v>18400000</v>
      </c>
      <c r="J20" s="389"/>
    </row>
    <row r="21" spans="2:24" x14ac:dyDescent="0.2">
      <c r="B21" s="105" t="s">
        <v>162</v>
      </c>
      <c r="C21" s="108">
        <v>19</v>
      </c>
      <c r="D21" s="250" t="s">
        <v>276</v>
      </c>
      <c r="E21" s="251">
        <v>460000</v>
      </c>
      <c r="F21" s="249"/>
      <c r="G21" s="249"/>
      <c r="H21" s="251">
        <f t="shared" ref="H21:H27" si="4">+C21*E21</f>
        <v>8740000</v>
      </c>
      <c r="I21" s="68"/>
      <c r="J21" s="389"/>
    </row>
    <row r="22" spans="2:24" x14ac:dyDescent="0.2">
      <c r="B22" s="105" t="s">
        <v>238</v>
      </c>
      <c r="C22" s="108">
        <f>19*2</f>
        <v>38</v>
      </c>
      <c r="D22" s="250" t="s">
        <v>276</v>
      </c>
      <c r="E22" s="251">
        <v>100000</v>
      </c>
      <c r="F22" s="249"/>
      <c r="G22" s="249"/>
      <c r="H22" s="251">
        <f t="shared" si="4"/>
        <v>3800000</v>
      </c>
      <c r="I22" s="68"/>
      <c r="J22" s="389"/>
    </row>
    <row r="23" spans="2:24" x14ac:dyDescent="0.2">
      <c r="B23" s="105" t="s">
        <v>83</v>
      </c>
      <c r="C23" s="108">
        <v>7</v>
      </c>
      <c r="D23" s="250" t="s">
        <v>276</v>
      </c>
      <c r="E23" s="251">
        <v>500000</v>
      </c>
      <c r="F23" s="249"/>
      <c r="G23" s="249"/>
      <c r="H23" s="251">
        <f t="shared" si="4"/>
        <v>3500000</v>
      </c>
      <c r="I23" s="68"/>
      <c r="J23" s="389"/>
    </row>
    <row r="24" spans="2:24" x14ac:dyDescent="0.2">
      <c r="B24" s="105" t="s">
        <v>277</v>
      </c>
      <c r="C24" s="108">
        <v>1</v>
      </c>
      <c r="D24" s="250" t="s">
        <v>276</v>
      </c>
      <c r="E24" s="252">
        <v>142800000</v>
      </c>
      <c r="F24" s="249"/>
      <c r="G24" s="249"/>
      <c r="H24" s="251">
        <f t="shared" si="4"/>
        <v>142800000</v>
      </c>
      <c r="I24" s="68"/>
      <c r="J24" s="389"/>
    </row>
    <row r="25" spans="2:24" x14ac:dyDescent="0.2">
      <c r="B25" s="105" t="s">
        <v>348</v>
      </c>
      <c r="C25" s="108">
        <v>19</v>
      </c>
      <c r="D25" s="250" t="s">
        <v>276</v>
      </c>
      <c r="E25" s="251">
        <v>14500000</v>
      </c>
      <c r="F25" s="249"/>
      <c r="G25" s="249"/>
      <c r="H25" s="251">
        <f t="shared" si="4"/>
        <v>275500000</v>
      </c>
      <c r="I25" s="68"/>
      <c r="J25" s="390"/>
    </row>
    <row r="26" spans="2:24" x14ac:dyDescent="0.2">
      <c r="B26" s="105" t="s">
        <v>347</v>
      </c>
      <c r="C26" s="108">
        <v>1</v>
      </c>
      <c r="D26" s="250" t="s">
        <v>84</v>
      </c>
      <c r="E26" s="251">
        <v>1800000</v>
      </c>
      <c r="F26" s="249"/>
      <c r="G26" s="249"/>
      <c r="H26" s="251">
        <f t="shared" si="4"/>
        <v>1800000</v>
      </c>
      <c r="I26" s="68"/>
      <c r="J26" s="389"/>
    </row>
    <row r="27" spans="2:24" x14ac:dyDescent="0.2">
      <c r="B27" s="105" t="s">
        <v>313</v>
      </c>
      <c r="C27" s="108">
        <v>1</v>
      </c>
      <c r="D27" s="250" t="s">
        <v>84</v>
      </c>
      <c r="E27" s="251">
        <v>3381852</v>
      </c>
      <c r="F27" s="249"/>
      <c r="G27" s="249"/>
      <c r="H27" s="251">
        <f t="shared" si="4"/>
        <v>3381852</v>
      </c>
      <c r="I27" s="68"/>
      <c r="J27" s="389"/>
    </row>
    <row r="28" spans="2:24" x14ac:dyDescent="0.2">
      <c r="B28" s="105" t="s">
        <v>213</v>
      </c>
      <c r="C28" s="253">
        <v>3</v>
      </c>
      <c r="D28" s="254" t="s">
        <v>278</v>
      </c>
      <c r="E28" s="255">
        <v>7862772</v>
      </c>
      <c r="F28" s="256"/>
      <c r="G28" s="253">
        <v>12</v>
      </c>
      <c r="H28" s="251">
        <f>+C28*E28*G28</f>
        <v>283059792</v>
      </c>
      <c r="I28" s="68"/>
      <c r="J28" s="390"/>
    </row>
    <row r="29" spans="2:24" x14ac:dyDescent="0.2">
      <c r="B29" s="105" t="s">
        <v>279</v>
      </c>
      <c r="C29" s="253">
        <v>3</v>
      </c>
      <c r="D29" s="254" t="s">
        <v>278</v>
      </c>
      <c r="E29" s="255">
        <v>1313122</v>
      </c>
      <c r="F29" s="256"/>
      <c r="G29" s="253"/>
      <c r="H29" s="257">
        <f>+E29*C29</f>
        <v>3939366</v>
      </c>
      <c r="I29" s="68"/>
      <c r="J29" s="390"/>
    </row>
    <row r="30" spans="2:24" x14ac:dyDescent="0.2">
      <c r="B30" s="105" t="s">
        <v>280</v>
      </c>
      <c r="C30" s="253">
        <v>10</v>
      </c>
      <c r="D30" s="254" t="s">
        <v>278</v>
      </c>
      <c r="E30" s="255">
        <v>3931384</v>
      </c>
      <c r="F30" s="256"/>
      <c r="G30" s="253">
        <v>8</v>
      </c>
      <c r="H30" s="257">
        <f>C30*E30*G30</f>
        <v>314510720</v>
      </c>
      <c r="I30" s="258"/>
      <c r="J30" s="390"/>
    </row>
    <row r="31" spans="2:24" x14ac:dyDescent="0.2">
      <c r="B31" s="105" t="s">
        <v>57</v>
      </c>
      <c r="C31" s="253">
        <v>10</v>
      </c>
      <c r="D31" s="254" t="s">
        <v>278</v>
      </c>
      <c r="E31" s="255">
        <v>1300000</v>
      </c>
      <c r="F31" s="256"/>
      <c r="G31" s="253">
        <v>8</v>
      </c>
      <c r="H31" s="257">
        <f>C31*E31*G31</f>
        <v>104000000</v>
      </c>
      <c r="I31" s="258"/>
      <c r="J31" s="390"/>
    </row>
    <row r="32" spans="2:24" x14ac:dyDescent="0.2">
      <c r="B32" s="105" t="s">
        <v>194</v>
      </c>
      <c r="C32" s="253">
        <v>10</v>
      </c>
      <c r="D32" s="254" t="s">
        <v>84</v>
      </c>
      <c r="E32" s="255">
        <v>155000</v>
      </c>
      <c r="F32" s="259"/>
      <c r="G32" s="253">
        <v>8</v>
      </c>
      <c r="H32" s="257">
        <f>C32*E32*G32</f>
        <v>12400000</v>
      </c>
      <c r="I32" s="258"/>
      <c r="J32" s="390"/>
    </row>
    <row r="33" spans="1:10" x14ac:dyDescent="0.2">
      <c r="B33" s="105" t="s">
        <v>350</v>
      </c>
      <c r="C33" s="108"/>
      <c r="D33" s="108"/>
      <c r="E33" s="82"/>
      <c r="F33" s="105"/>
      <c r="G33" s="105"/>
      <c r="H33" s="82" t="s">
        <v>273</v>
      </c>
      <c r="I33" s="260"/>
      <c r="J33" s="389"/>
    </row>
    <row r="34" spans="1:10" x14ac:dyDescent="0.2">
      <c r="B34" s="105" t="s">
        <v>357</v>
      </c>
      <c r="C34" s="108"/>
      <c r="D34" s="108"/>
      <c r="E34" s="82"/>
      <c r="F34" s="105"/>
      <c r="G34" s="105"/>
      <c r="H34" s="82" t="s">
        <v>273</v>
      </c>
      <c r="I34" s="258"/>
      <c r="J34" s="389"/>
    </row>
    <row r="35" spans="1:10" x14ac:dyDescent="0.2">
      <c r="B35" s="105" t="s">
        <v>349</v>
      </c>
      <c r="C35" s="108"/>
      <c r="D35" s="250"/>
      <c r="E35" s="251"/>
      <c r="F35" s="395"/>
      <c r="G35" s="249"/>
      <c r="H35" s="251" t="s">
        <v>273</v>
      </c>
      <c r="I35" s="68"/>
      <c r="J35" s="390"/>
    </row>
    <row r="36" spans="1:10" ht="15" x14ac:dyDescent="0.25">
      <c r="B36" s="105"/>
      <c r="C36" s="108"/>
      <c r="D36" s="108"/>
      <c r="E36" s="82"/>
      <c r="F36" s="105"/>
      <c r="G36" s="105"/>
      <c r="H36" s="82"/>
      <c r="I36" s="264" t="s">
        <v>174</v>
      </c>
      <c r="J36" s="389"/>
    </row>
    <row r="37" spans="1:10" ht="15" x14ac:dyDescent="0.25">
      <c r="B37" s="261" t="s">
        <v>439</v>
      </c>
      <c r="C37" s="262"/>
      <c r="D37" s="262"/>
      <c r="E37" s="262"/>
      <c r="F37" s="263"/>
      <c r="G37" s="263"/>
      <c r="H37" s="264">
        <f>SUM(H20:H34)</f>
        <v>1175831730</v>
      </c>
      <c r="I37" s="264">
        <f>H37/12</f>
        <v>97985977.5</v>
      </c>
      <c r="J37" s="390"/>
    </row>
    <row r="38" spans="1:10" s="68" customFormat="1" ht="243.95" customHeight="1" x14ac:dyDescent="0.2">
      <c r="B38" s="266" t="s">
        <v>451</v>
      </c>
      <c r="C38" s="267"/>
      <c r="D38" s="267"/>
      <c r="E38" s="267"/>
      <c r="F38" s="267"/>
      <c r="G38" s="267"/>
      <c r="H38" s="267"/>
    </row>
    <row r="39" spans="1:10" ht="15" x14ac:dyDescent="0.25">
      <c r="B39" s="268"/>
      <c r="C39" s="268"/>
      <c r="D39" s="268"/>
      <c r="E39" s="268"/>
      <c r="F39" s="268"/>
      <c r="G39" s="268"/>
      <c r="H39" s="268"/>
      <c r="I39" s="269"/>
    </row>
    <row r="40" spans="1:10" ht="15" x14ac:dyDescent="0.25">
      <c r="B40" s="268"/>
      <c r="C40" s="268"/>
      <c r="D40" s="268"/>
      <c r="E40" s="268"/>
      <c r="F40" s="268"/>
      <c r="G40" s="268"/>
      <c r="H40" s="268"/>
      <c r="I40" s="269"/>
    </row>
    <row r="41" spans="1:10" s="68" customFormat="1" ht="14.45" customHeight="1" x14ac:dyDescent="0.25">
      <c r="B41" s="723" t="str">
        <f>+B9</f>
        <v>9.2. Diseño y mejora de los instrumentos de financiamiento, comercialización, gestión de riesgos y empresarización para la cadena de maíz.</v>
      </c>
      <c r="C41" s="724"/>
      <c r="D41" s="724"/>
      <c r="E41" s="724"/>
      <c r="F41" s="724"/>
      <c r="G41" s="724"/>
      <c r="H41" s="724"/>
    </row>
    <row r="42" spans="1:10" hidden="1" x14ac:dyDescent="0.2">
      <c r="B42" s="268"/>
      <c r="C42" s="268"/>
      <c r="D42" s="268"/>
      <c r="E42" s="268"/>
      <c r="F42" s="268"/>
      <c r="G42" s="268"/>
      <c r="H42" s="268"/>
    </row>
    <row r="43" spans="1:10" ht="15" x14ac:dyDescent="0.25">
      <c r="B43" s="246" t="s">
        <v>79</v>
      </c>
      <c r="C43" s="246" t="s">
        <v>59</v>
      </c>
      <c r="D43" s="246" t="s">
        <v>56</v>
      </c>
      <c r="E43" s="246" t="s">
        <v>55</v>
      </c>
      <c r="F43" s="246" t="s">
        <v>80</v>
      </c>
      <c r="G43" s="246" t="s">
        <v>81</v>
      </c>
      <c r="H43" s="246" t="s">
        <v>82</v>
      </c>
    </row>
    <row r="44" spans="1:10" s="68" customFormat="1" x14ac:dyDescent="0.2">
      <c r="A44" s="228"/>
      <c r="B44" s="270" t="s">
        <v>83</v>
      </c>
      <c r="C44" s="108">
        <v>7</v>
      </c>
      <c r="D44" s="105" t="s">
        <v>276</v>
      </c>
      <c r="E44" s="82">
        <v>500000</v>
      </c>
      <c r="F44" s="105"/>
      <c r="G44" s="105"/>
      <c r="H44" s="82">
        <f>+C44*E44</f>
        <v>3500000</v>
      </c>
      <c r="I44" s="260"/>
      <c r="J44" s="390"/>
    </row>
    <row r="45" spans="1:10" s="68" customFormat="1" x14ac:dyDescent="0.2">
      <c r="B45" s="270" t="s">
        <v>351</v>
      </c>
      <c r="C45" s="108">
        <v>10</v>
      </c>
      <c r="D45" s="105" t="s">
        <v>276</v>
      </c>
      <c r="E45" s="82">
        <v>100000</v>
      </c>
      <c r="F45" s="105"/>
      <c r="G45" s="105"/>
      <c r="H45" s="82">
        <f t="shared" ref="H45:H47" si="5">+C45*E45</f>
        <v>1000000</v>
      </c>
      <c r="I45" s="260"/>
      <c r="J45" s="390"/>
    </row>
    <row r="46" spans="1:10" s="68" customFormat="1" x14ac:dyDescent="0.2">
      <c r="A46" s="228"/>
      <c r="B46" s="270" t="s">
        <v>275</v>
      </c>
      <c r="C46" s="108">
        <v>11</v>
      </c>
      <c r="D46" s="270" t="s">
        <v>276</v>
      </c>
      <c r="E46" s="82">
        <v>2300000</v>
      </c>
      <c r="F46" s="270"/>
      <c r="G46" s="270"/>
      <c r="H46" s="82">
        <f t="shared" si="5"/>
        <v>25300000</v>
      </c>
      <c r="I46" s="265"/>
      <c r="J46" s="390"/>
    </row>
    <row r="47" spans="1:10" s="68" customFormat="1" x14ac:dyDescent="0.2">
      <c r="A47" s="228"/>
      <c r="B47" s="270" t="s">
        <v>162</v>
      </c>
      <c r="C47" s="108">
        <v>19</v>
      </c>
      <c r="D47" s="270" t="s">
        <v>276</v>
      </c>
      <c r="E47" s="82">
        <v>460000</v>
      </c>
      <c r="F47" s="270"/>
      <c r="G47" s="270"/>
      <c r="H47" s="82">
        <f t="shared" si="5"/>
        <v>8740000</v>
      </c>
      <c r="I47" s="265"/>
      <c r="J47" s="390"/>
    </row>
    <row r="48" spans="1:10" x14ac:dyDescent="0.2">
      <c r="B48" s="270" t="s">
        <v>213</v>
      </c>
      <c r="C48" s="108">
        <v>3</v>
      </c>
      <c r="D48" s="270" t="s">
        <v>278</v>
      </c>
      <c r="E48" s="82">
        <v>7862772</v>
      </c>
      <c r="F48" s="270"/>
      <c r="G48" s="270">
        <v>8</v>
      </c>
      <c r="H48" s="82">
        <f>+C48*E48*G48</f>
        <v>188706528</v>
      </c>
      <c r="I48" s="260"/>
      <c r="J48" s="389"/>
    </row>
    <row r="49" spans="1:10" x14ac:dyDescent="0.2">
      <c r="B49" s="270" t="s">
        <v>279</v>
      </c>
      <c r="C49" s="108">
        <v>3</v>
      </c>
      <c r="D49" s="270" t="s">
        <v>278</v>
      </c>
      <c r="E49" s="82">
        <v>1769683</v>
      </c>
      <c r="F49" s="270"/>
      <c r="G49" s="270">
        <v>8</v>
      </c>
      <c r="H49" s="82">
        <f>+C49*E49*G49</f>
        <v>42472392</v>
      </c>
      <c r="I49" s="260"/>
      <c r="J49" s="389"/>
    </row>
    <row r="50" spans="1:10" x14ac:dyDescent="0.2">
      <c r="B50" s="270" t="s">
        <v>440</v>
      </c>
      <c r="C50" s="108">
        <v>1</v>
      </c>
      <c r="D50" s="270" t="s">
        <v>276</v>
      </c>
      <c r="E50" s="82">
        <v>60000000</v>
      </c>
      <c r="F50" s="270"/>
      <c r="G50" s="270"/>
      <c r="H50" s="82">
        <f>C50*E50</f>
        <v>60000000</v>
      </c>
      <c r="I50" s="260"/>
      <c r="J50" s="389"/>
    </row>
    <row r="51" spans="1:10" ht="15" x14ac:dyDescent="0.25">
      <c r="B51" s="270" t="s">
        <v>203</v>
      </c>
      <c r="C51" s="270"/>
      <c r="D51" s="270"/>
      <c r="E51" s="270"/>
      <c r="F51" s="270"/>
      <c r="G51" s="270"/>
      <c r="H51" s="82" t="s">
        <v>273</v>
      </c>
      <c r="I51" s="271" t="s">
        <v>174</v>
      </c>
      <c r="J51" s="389"/>
    </row>
    <row r="52" spans="1:10" ht="15" x14ac:dyDescent="0.25">
      <c r="B52" s="261" t="s">
        <v>96</v>
      </c>
      <c r="C52" s="262"/>
      <c r="D52" s="262"/>
      <c r="E52" s="263"/>
      <c r="F52" s="263"/>
      <c r="G52" s="262"/>
      <c r="H52" s="271">
        <f>SUM(H44:H51)</f>
        <v>329718920</v>
      </c>
      <c r="I52" s="271">
        <f>H52/12</f>
        <v>27476576.666666668</v>
      </c>
      <c r="J52" s="389"/>
    </row>
    <row r="53" spans="1:10" s="68" customFormat="1" ht="260.45" hidden="1" customHeight="1" x14ac:dyDescent="0.2">
      <c r="B53" s="100" t="s">
        <v>97</v>
      </c>
      <c r="C53" s="268"/>
      <c r="D53" s="268"/>
      <c r="E53" s="268"/>
      <c r="F53" s="268"/>
      <c r="G53" s="268"/>
      <c r="H53" s="268"/>
      <c r="J53" s="228"/>
    </row>
    <row r="54" spans="1:10" ht="208.5" customHeight="1" x14ac:dyDescent="0.2">
      <c r="B54" s="266" t="s">
        <v>438</v>
      </c>
      <c r="C54" s="68"/>
      <c r="D54" s="68"/>
      <c r="E54" s="68"/>
      <c r="F54" s="245"/>
      <c r="G54" s="245"/>
      <c r="H54" s="68"/>
    </row>
    <row r="55" spans="1:10" x14ac:dyDescent="0.2">
      <c r="B55" s="68"/>
      <c r="C55" s="68"/>
      <c r="D55" s="68"/>
      <c r="E55" s="68"/>
      <c r="F55" s="68"/>
      <c r="G55" s="68"/>
    </row>
    <row r="57" spans="1:10" s="68" customFormat="1" ht="14.45" customHeight="1" x14ac:dyDescent="0.25">
      <c r="B57" s="723" t="str">
        <f>B10</f>
        <v>9.3. Fortalecimiento de mecanismos institucionales para el impulso a las inversiones en producción de maíz a mediana y gran escala.</v>
      </c>
      <c r="C57" s="724"/>
      <c r="D57" s="724"/>
      <c r="E57" s="724"/>
      <c r="F57" s="724"/>
      <c r="G57" s="724"/>
      <c r="H57" s="724"/>
    </row>
    <row r="58" spans="1:10" hidden="1" x14ac:dyDescent="0.2">
      <c r="B58" s="268"/>
      <c r="C58" s="268"/>
      <c r="D58" s="268"/>
      <c r="E58" s="268"/>
      <c r="F58" s="268"/>
      <c r="G58" s="268"/>
      <c r="H58" s="268"/>
    </row>
    <row r="59" spans="1:10" ht="15" x14ac:dyDescent="0.25">
      <c r="B59" s="246" t="s">
        <v>79</v>
      </c>
      <c r="C59" s="246" t="s">
        <v>59</v>
      </c>
      <c r="D59" s="246" t="s">
        <v>56</v>
      </c>
      <c r="E59" s="246" t="s">
        <v>55</v>
      </c>
      <c r="F59" s="246" t="s">
        <v>80</v>
      </c>
      <c r="G59" s="246" t="s">
        <v>81</v>
      </c>
      <c r="H59" s="246" t="s">
        <v>82</v>
      </c>
      <c r="J59" s="68"/>
    </row>
    <row r="60" spans="1:10" s="68" customFormat="1" x14ac:dyDescent="0.2">
      <c r="A60" s="228"/>
      <c r="B60" s="270" t="s">
        <v>275</v>
      </c>
      <c r="C60" s="108">
        <v>8</v>
      </c>
      <c r="D60" s="105" t="s">
        <v>276</v>
      </c>
      <c r="E60" s="82">
        <v>2300000</v>
      </c>
      <c r="F60" s="105"/>
      <c r="G60" s="105"/>
      <c r="H60" s="82">
        <f>+C60*E60</f>
        <v>18400000</v>
      </c>
      <c r="I60" s="260"/>
      <c r="J60" s="390"/>
    </row>
    <row r="61" spans="1:10" s="68" customFormat="1" x14ac:dyDescent="0.2">
      <c r="B61" s="270" t="s">
        <v>162</v>
      </c>
      <c r="C61" s="108">
        <v>20</v>
      </c>
      <c r="D61" s="105" t="s">
        <v>276</v>
      </c>
      <c r="E61" s="82">
        <v>460000</v>
      </c>
      <c r="F61" s="105"/>
      <c r="G61" s="105"/>
      <c r="H61" s="82">
        <f>+C61*E61</f>
        <v>9200000</v>
      </c>
      <c r="I61" s="260"/>
      <c r="J61" s="390"/>
    </row>
    <row r="62" spans="1:10" s="68" customFormat="1" x14ac:dyDescent="0.2">
      <c r="A62" s="228"/>
      <c r="B62" s="270" t="s">
        <v>238</v>
      </c>
      <c r="C62" s="108">
        <v>14</v>
      </c>
      <c r="D62" s="270" t="s">
        <v>276</v>
      </c>
      <c r="E62" s="82">
        <v>100000</v>
      </c>
      <c r="F62" s="270"/>
      <c r="G62" s="270"/>
      <c r="H62" s="82">
        <f>+C62*E62</f>
        <v>1400000</v>
      </c>
      <c r="I62" s="265"/>
      <c r="J62" s="390"/>
    </row>
    <row r="63" spans="1:10" s="68" customFormat="1" x14ac:dyDescent="0.2">
      <c r="A63" s="228"/>
      <c r="B63" s="270" t="s">
        <v>83</v>
      </c>
      <c r="C63" s="108">
        <v>7</v>
      </c>
      <c r="D63" s="270" t="s">
        <v>276</v>
      </c>
      <c r="E63" s="82">
        <v>500000</v>
      </c>
      <c r="F63" s="270"/>
      <c r="G63" s="270"/>
      <c r="H63" s="82">
        <f>+C63*E63</f>
        <v>3500000</v>
      </c>
      <c r="I63" s="265"/>
      <c r="J63" s="389"/>
    </row>
    <row r="64" spans="1:10" x14ac:dyDescent="0.2">
      <c r="B64" s="270" t="s">
        <v>347</v>
      </c>
      <c r="C64" s="108">
        <v>4</v>
      </c>
      <c r="D64" s="270" t="s">
        <v>84</v>
      </c>
      <c r="E64" s="82">
        <v>1800000</v>
      </c>
      <c r="F64" s="270"/>
      <c r="G64" s="270"/>
      <c r="H64" s="82">
        <f>C64*E64</f>
        <v>7200000</v>
      </c>
      <c r="I64" s="260"/>
      <c r="J64" s="390"/>
    </row>
    <row r="65" spans="1:10" s="68" customFormat="1" x14ac:dyDescent="0.2">
      <c r="A65" s="228"/>
      <c r="B65" s="270" t="s">
        <v>313</v>
      </c>
      <c r="C65" s="108">
        <v>4</v>
      </c>
      <c r="D65" s="270" t="s">
        <v>84</v>
      </c>
      <c r="E65" s="82">
        <v>3381852</v>
      </c>
      <c r="F65" s="270"/>
      <c r="G65" s="270"/>
      <c r="H65" s="82">
        <f>C65*E65</f>
        <v>13527408</v>
      </c>
      <c r="I65" s="260"/>
      <c r="J65" s="390"/>
    </row>
    <row r="66" spans="1:10" s="68" customFormat="1" x14ac:dyDescent="0.2">
      <c r="B66" s="270" t="s">
        <v>277</v>
      </c>
      <c r="C66" s="292">
        <v>1</v>
      </c>
      <c r="D66" s="270" t="s">
        <v>276</v>
      </c>
      <c r="E66" s="82">
        <v>142800000</v>
      </c>
      <c r="F66" s="270"/>
      <c r="G66" s="270"/>
      <c r="H66" s="82">
        <f t="shared" ref="H66" si="6">+C66*E66</f>
        <v>142800000</v>
      </c>
      <c r="I66" s="260"/>
      <c r="J66" s="390"/>
    </row>
    <row r="67" spans="1:10" s="68" customFormat="1" x14ac:dyDescent="0.2">
      <c r="A67" s="228"/>
      <c r="B67" s="270" t="s">
        <v>348</v>
      </c>
      <c r="C67" s="108">
        <v>10</v>
      </c>
      <c r="D67" s="105" t="s">
        <v>276</v>
      </c>
      <c r="E67" s="82">
        <v>14500000</v>
      </c>
      <c r="F67" s="105"/>
      <c r="G67" s="105"/>
      <c r="H67" s="82">
        <f>+C67*E67</f>
        <v>145000000</v>
      </c>
      <c r="I67" s="265"/>
      <c r="J67" s="390"/>
    </row>
    <row r="68" spans="1:10" s="68" customFormat="1" x14ac:dyDescent="0.2">
      <c r="A68" s="228"/>
      <c r="B68" s="270" t="s">
        <v>213</v>
      </c>
      <c r="C68" s="108">
        <v>5</v>
      </c>
      <c r="D68" s="105" t="s">
        <v>278</v>
      </c>
      <c r="E68" s="82">
        <v>8963563</v>
      </c>
      <c r="F68" s="105"/>
      <c r="G68" s="108">
        <v>8</v>
      </c>
      <c r="H68" s="82">
        <f>+C68*E68*G68</f>
        <v>358542520</v>
      </c>
      <c r="I68" s="265"/>
      <c r="J68" s="389"/>
    </row>
    <row r="69" spans="1:10" ht="15" x14ac:dyDescent="0.25">
      <c r="B69" s="270" t="s">
        <v>279</v>
      </c>
      <c r="C69" s="108">
        <v>5</v>
      </c>
      <c r="D69" s="270" t="s">
        <v>278</v>
      </c>
      <c r="E69" s="82">
        <v>856561</v>
      </c>
      <c r="F69" s="270"/>
      <c r="G69" s="292"/>
      <c r="H69" s="82">
        <f>C69*E69</f>
        <v>4282805</v>
      </c>
      <c r="I69" s="320"/>
      <c r="J69" s="389"/>
    </row>
    <row r="70" spans="1:10" ht="15" x14ac:dyDescent="0.25">
      <c r="B70" s="270" t="s">
        <v>280</v>
      </c>
      <c r="C70" s="108">
        <v>7</v>
      </c>
      <c r="D70" s="270" t="s">
        <v>278</v>
      </c>
      <c r="E70" s="82">
        <v>2516084</v>
      </c>
      <c r="F70" s="270"/>
      <c r="G70" s="292">
        <v>6</v>
      </c>
      <c r="H70" s="82">
        <f>+G70*E70*C70</f>
        <v>105675528</v>
      </c>
      <c r="I70" s="320"/>
      <c r="J70" s="389"/>
    </row>
    <row r="71" spans="1:10" ht="15" x14ac:dyDescent="0.25">
      <c r="B71" s="270" t="s">
        <v>57</v>
      </c>
      <c r="C71" s="108">
        <v>7</v>
      </c>
      <c r="D71" s="270" t="s">
        <v>278</v>
      </c>
      <c r="E71" s="82">
        <v>1300000</v>
      </c>
      <c r="F71" s="270"/>
      <c r="G71" s="292">
        <v>6</v>
      </c>
      <c r="H71" s="82">
        <f>+G71*E71*C71</f>
        <v>54600000</v>
      </c>
      <c r="I71" s="320"/>
      <c r="J71" s="389"/>
    </row>
    <row r="72" spans="1:10" ht="15" x14ac:dyDescent="0.25">
      <c r="B72" s="270" t="s">
        <v>194</v>
      </c>
      <c r="C72" s="108">
        <v>7</v>
      </c>
      <c r="D72" s="270" t="s">
        <v>278</v>
      </c>
      <c r="E72" s="82">
        <v>155000</v>
      </c>
      <c r="F72" s="270"/>
      <c r="G72" s="292">
        <v>6</v>
      </c>
      <c r="H72" s="82">
        <f>+G72*E72*C72</f>
        <v>6510000</v>
      </c>
      <c r="I72" s="320"/>
      <c r="J72" s="389"/>
    </row>
    <row r="73" spans="1:10" s="68" customFormat="1" ht="260.45" hidden="1" customHeight="1" x14ac:dyDescent="0.25">
      <c r="B73" s="270" t="s">
        <v>316</v>
      </c>
      <c r="C73" s="270"/>
      <c r="D73" s="270"/>
      <c r="E73" s="270"/>
      <c r="F73" s="270"/>
      <c r="G73" s="270"/>
      <c r="H73" s="82" t="s">
        <v>273</v>
      </c>
      <c r="I73" s="320"/>
      <c r="J73" s="228"/>
    </row>
    <row r="74" spans="1:10" s="68" customFormat="1" ht="15" x14ac:dyDescent="0.25">
      <c r="B74" s="270" t="s">
        <v>363</v>
      </c>
      <c r="C74" s="270"/>
      <c r="D74" s="270"/>
      <c r="E74" s="270"/>
      <c r="F74" s="270"/>
      <c r="G74" s="270"/>
      <c r="H74" s="82" t="s">
        <v>273</v>
      </c>
      <c r="I74" s="271" t="s">
        <v>174</v>
      </c>
      <c r="J74" s="228"/>
    </row>
    <row r="75" spans="1:10" ht="15" x14ac:dyDescent="0.25">
      <c r="B75" s="261" t="s">
        <v>96</v>
      </c>
      <c r="C75" s="262"/>
      <c r="D75" s="262"/>
      <c r="E75" s="263"/>
      <c r="F75" s="263"/>
      <c r="G75" s="262"/>
      <c r="H75" s="271">
        <f>SUM(H60:H73)</f>
        <v>870638261</v>
      </c>
      <c r="I75" s="271">
        <f>H75/12</f>
        <v>72553188.416666672</v>
      </c>
      <c r="J75" s="390"/>
    </row>
    <row r="76" spans="1:10" s="68" customFormat="1" ht="256.5" x14ac:dyDescent="0.25">
      <c r="B76" s="266" t="s">
        <v>364</v>
      </c>
      <c r="C76" s="318"/>
      <c r="D76" s="318"/>
      <c r="E76" s="319"/>
      <c r="F76" s="319"/>
      <c r="G76" s="318"/>
      <c r="H76" s="320"/>
      <c r="I76" s="320"/>
    </row>
    <row r="77" spans="1:10" s="68" customFormat="1" ht="15" x14ac:dyDescent="0.25">
      <c r="B77" s="317"/>
      <c r="C77" s="318"/>
      <c r="D77" s="318"/>
      <c r="E77" s="319"/>
      <c r="F77" s="319"/>
      <c r="G77" s="318"/>
      <c r="H77" s="320"/>
      <c r="I77" s="320"/>
    </row>
    <row r="78" spans="1:10" s="68" customFormat="1" ht="15" x14ac:dyDescent="0.25">
      <c r="B78" s="317"/>
      <c r="C78" s="318"/>
      <c r="D78" s="318"/>
      <c r="E78" s="319"/>
      <c r="F78" s="319"/>
      <c r="G78" s="318"/>
      <c r="H78" s="320"/>
      <c r="I78" s="320"/>
    </row>
    <row r="80" spans="1:10" x14ac:dyDescent="0.2">
      <c r="B80" s="726" t="str">
        <f>+B11</f>
        <v>9.4. Diseño y operación del Sistema nacional de Información para la cadena de maíz.</v>
      </c>
      <c r="C80" s="727"/>
      <c r="D80" s="727"/>
      <c r="E80" s="727"/>
      <c r="F80" s="727"/>
      <c r="G80" s="727"/>
      <c r="H80" s="727"/>
    </row>
    <row r="81" spans="2:10" ht="15" x14ac:dyDescent="0.2">
      <c r="B81" s="272" t="s">
        <v>79</v>
      </c>
      <c r="C81" s="272" t="s">
        <v>59</v>
      </c>
      <c r="D81" s="272" t="s">
        <v>56</v>
      </c>
      <c r="E81" s="272" t="s">
        <v>55</v>
      </c>
      <c r="F81" s="272" t="s">
        <v>80</v>
      </c>
      <c r="G81" s="272" t="s">
        <v>81</v>
      </c>
      <c r="H81" s="272" t="s">
        <v>82</v>
      </c>
      <c r="J81" s="389"/>
    </row>
    <row r="82" spans="2:10" ht="28.5" x14ac:dyDescent="0.2">
      <c r="B82" s="273" t="s">
        <v>275</v>
      </c>
      <c r="C82" s="249">
        <f>7+7+1</f>
        <v>15</v>
      </c>
      <c r="D82" s="250" t="s">
        <v>276</v>
      </c>
      <c r="E82" s="251">
        <v>2300000</v>
      </c>
      <c r="F82" s="274"/>
      <c r="G82" s="274"/>
      <c r="H82" s="275">
        <f>C82*E82</f>
        <v>34500000</v>
      </c>
      <c r="J82" s="389"/>
    </row>
    <row r="83" spans="2:10" x14ac:dyDescent="0.2">
      <c r="B83" s="276" t="s">
        <v>162</v>
      </c>
      <c r="C83" s="108">
        <f>19</f>
        <v>19</v>
      </c>
      <c r="D83" s="250" t="s">
        <v>276</v>
      </c>
      <c r="E83" s="251">
        <v>460000</v>
      </c>
      <c r="F83" s="274"/>
      <c r="G83" s="274"/>
      <c r="H83" s="275">
        <f t="shared" ref="H83:H85" si="7">C83*E83</f>
        <v>8740000</v>
      </c>
      <c r="J83" s="389"/>
    </row>
    <row r="84" spans="2:10" x14ac:dyDescent="0.2">
      <c r="B84" s="273" t="s">
        <v>238</v>
      </c>
      <c r="C84" s="108">
        <v>7</v>
      </c>
      <c r="D84" s="250" t="s">
        <v>276</v>
      </c>
      <c r="E84" s="251">
        <v>100000</v>
      </c>
      <c r="F84" s="274"/>
      <c r="G84" s="274"/>
      <c r="H84" s="275">
        <f t="shared" si="7"/>
        <v>700000</v>
      </c>
      <c r="J84" s="389"/>
    </row>
    <row r="85" spans="2:10" x14ac:dyDescent="0.2">
      <c r="B85" s="273" t="s">
        <v>83</v>
      </c>
      <c r="C85" s="108">
        <v>7</v>
      </c>
      <c r="D85" s="250" t="s">
        <v>276</v>
      </c>
      <c r="E85" s="251">
        <v>500000</v>
      </c>
      <c r="F85" s="274"/>
      <c r="G85" s="274"/>
      <c r="H85" s="275">
        <f t="shared" si="7"/>
        <v>3500000</v>
      </c>
      <c r="J85" s="389"/>
    </row>
    <row r="86" spans="2:10" x14ac:dyDescent="0.2">
      <c r="B86" s="276" t="s">
        <v>213</v>
      </c>
      <c r="C86" s="253">
        <v>3</v>
      </c>
      <c r="D86" s="254" t="s">
        <v>278</v>
      </c>
      <c r="E86" s="255">
        <v>7862772</v>
      </c>
      <c r="F86" s="274"/>
      <c r="G86" s="277">
        <v>8</v>
      </c>
      <c r="H86" s="275">
        <f>C86*E86*G86</f>
        <v>188706528</v>
      </c>
      <c r="J86" s="389"/>
    </row>
    <row r="87" spans="2:10" x14ac:dyDescent="0.2">
      <c r="B87" s="276" t="s">
        <v>279</v>
      </c>
      <c r="C87" s="253">
        <v>3</v>
      </c>
      <c r="D87" s="254" t="s">
        <v>278</v>
      </c>
      <c r="E87" s="255">
        <v>1769683</v>
      </c>
      <c r="F87" s="274"/>
      <c r="G87" s="277"/>
      <c r="H87" s="275">
        <f>C87*E87</f>
        <v>5309049</v>
      </c>
      <c r="J87" s="389"/>
    </row>
    <row r="88" spans="2:10" x14ac:dyDescent="0.2">
      <c r="B88" s="276" t="s">
        <v>280</v>
      </c>
      <c r="C88" s="253">
        <v>10</v>
      </c>
      <c r="D88" s="254" t="s">
        <v>278</v>
      </c>
      <c r="E88" s="255">
        <v>3931384</v>
      </c>
      <c r="F88" s="274"/>
      <c r="G88" s="277">
        <v>6</v>
      </c>
      <c r="H88" s="275">
        <f>C88*E88*G88</f>
        <v>235883040</v>
      </c>
      <c r="J88" s="389"/>
    </row>
    <row r="89" spans="2:10" x14ac:dyDescent="0.2">
      <c r="B89" s="276" t="s">
        <v>57</v>
      </c>
      <c r="C89" s="253">
        <v>10</v>
      </c>
      <c r="D89" s="254" t="s">
        <v>278</v>
      </c>
      <c r="E89" s="255">
        <v>1300000</v>
      </c>
      <c r="F89" s="278"/>
      <c r="G89" s="277">
        <v>6</v>
      </c>
      <c r="H89" s="275">
        <f t="shared" ref="H89:H91" si="8">C89*E89*G89</f>
        <v>78000000</v>
      </c>
      <c r="J89" s="389"/>
    </row>
    <row r="90" spans="2:10" x14ac:dyDescent="0.2">
      <c r="B90" s="276" t="s">
        <v>194</v>
      </c>
      <c r="C90" s="253">
        <v>10</v>
      </c>
      <c r="D90" s="254" t="s">
        <v>84</v>
      </c>
      <c r="E90" s="255">
        <v>155000</v>
      </c>
      <c r="F90" s="274"/>
      <c r="G90" s="277">
        <v>6</v>
      </c>
      <c r="H90" s="275">
        <f t="shared" si="8"/>
        <v>9300000</v>
      </c>
      <c r="J90" s="389"/>
    </row>
    <row r="91" spans="2:10" ht="15" x14ac:dyDescent="0.2">
      <c r="B91" s="274" t="s">
        <v>352</v>
      </c>
      <c r="C91" s="274"/>
      <c r="D91" s="274"/>
      <c r="E91" s="274"/>
      <c r="F91" s="274"/>
      <c r="G91" s="274"/>
      <c r="H91" s="275">
        <f t="shared" si="8"/>
        <v>0</v>
      </c>
      <c r="I91" s="281" t="s">
        <v>174</v>
      </c>
      <c r="J91" s="389"/>
    </row>
    <row r="92" spans="2:10" ht="15" x14ac:dyDescent="0.2">
      <c r="B92" s="272" t="s">
        <v>96</v>
      </c>
      <c r="C92" s="279"/>
      <c r="D92" s="279"/>
      <c r="E92" s="280"/>
      <c r="F92" s="280"/>
      <c r="G92" s="279"/>
      <c r="H92" s="281">
        <f>SUM(H82:H91)</f>
        <v>564638617</v>
      </c>
      <c r="I92" s="281">
        <f>H92/12</f>
        <v>47053218.083333336</v>
      </c>
      <c r="J92" s="389"/>
    </row>
    <row r="93" spans="2:10" ht="199.5" x14ac:dyDescent="0.2">
      <c r="B93" s="266" t="s">
        <v>358</v>
      </c>
      <c r="C93" s="282"/>
      <c r="D93" s="283"/>
      <c r="E93" s="283"/>
      <c r="F93" s="283"/>
      <c r="G93" s="283"/>
      <c r="H93" s="283"/>
    </row>
    <row r="97" spans="2:10" ht="15" x14ac:dyDescent="0.2">
      <c r="B97" s="726" t="str">
        <f>+B12</f>
        <v>9.5. Constitución y fortalecimiento de la Organización de Cadena de maíz.</v>
      </c>
      <c r="C97" s="726"/>
      <c r="D97" s="726"/>
      <c r="E97" s="726"/>
      <c r="F97" s="726"/>
      <c r="G97" s="726"/>
      <c r="H97" s="726"/>
    </row>
    <row r="98" spans="2:10" ht="15" x14ac:dyDescent="0.2">
      <c r="B98" s="284" t="s">
        <v>79</v>
      </c>
      <c r="C98" s="284" t="s">
        <v>59</v>
      </c>
      <c r="D98" s="284" t="s">
        <v>56</v>
      </c>
      <c r="E98" s="284" t="s">
        <v>55</v>
      </c>
      <c r="F98" s="285" t="s">
        <v>80</v>
      </c>
      <c r="G98" s="284" t="s">
        <v>81</v>
      </c>
      <c r="H98" s="284" t="s">
        <v>82</v>
      </c>
    </row>
    <row r="99" spans="2:10" x14ac:dyDescent="0.2">
      <c r="B99" s="105" t="s">
        <v>83</v>
      </c>
      <c r="C99" s="286">
        <v>7</v>
      </c>
      <c r="D99" s="287" t="s">
        <v>84</v>
      </c>
      <c r="E99" s="275">
        <v>500000</v>
      </c>
      <c r="F99" s="288"/>
      <c r="G99" s="289"/>
      <c r="H99" s="275">
        <f>C99*E99</f>
        <v>3500000</v>
      </c>
      <c r="J99" s="389"/>
    </row>
    <row r="100" spans="2:10" x14ac:dyDescent="0.2">
      <c r="B100" s="105" t="s">
        <v>238</v>
      </c>
      <c r="C100" s="286">
        <v>19</v>
      </c>
      <c r="D100" s="287" t="s">
        <v>84</v>
      </c>
      <c r="E100" s="275">
        <v>100000</v>
      </c>
      <c r="F100" s="288"/>
      <c r="G100" s="289"/>
      <c r="H100" s="275">
        <f>C100*E100</f>
        <v>1900000</v>
      </c>
      <c r="J100" s="389"/>
    </row>
    <row r="101" spans="2:10" x14ac:dyDescent="0.2">
      <c r="B101" s="290" t="s">
        <v>275</v>
      </c>
      <c r="C101" s="286">
        <v>7</v>
      </c>
      <c r="D101" s="287" t="s">
        <v>84</v>
      </c>
      <c r="E101" s="275">
        <v>2300000</v>
      </c>
      <c r="F101" s="288"/>
      <c r="G101" s="289"/>
      <c r="H101" s="275">
        <f>C101*E101</f>
        <v>16100000</v>
      </c>
      <c r="J101" s="389"/>
    </row>
    <row r="102" spans="2:10" x14ac:dyDescent="0.2">
      <c r="B102" s="290" t="s">
        <v>90</v>
      </c>
      <c r="C102" s="286">
        <v>2</v>
      </c>
      <c r="D102" s="287" t="s">
        <v>261</v>
      </c>
      <c r="E102" s="275">
        <v>5661197</v>
      </c>
      <c r="F102" s="288">
        <v>0.5</v>
      </c>
      <c r="G102" s="289">
        <v>12</v>
      </c>
      <c r="H102" s="275">
        <f>C102*E102*G102*F102</f>
        <v>67934364</v>
      </c>
      <c r="J102" s="389"/>
    </row>
    <row r="103" spans="2:10" x14ac:dyDescent="0.2">
      <c r="B103" s="290" t="s">
        <v>91</v>
      </c>
      <c r="C103" s="286">
        <v>4</v>
      </c>
      <c r="D103" s="287" t="s">
        <v>84</v>
      </c>
      <c r="E103" s="275">
        <v>957268</v>
      </c>
      <c r="F103" s="288"/>
      <c r="G103" s="289"/>
      <c r="H103" s="275">
        <f>C103*E103</f>
        <v>3829072</v>
      </c>
      <c r="J103" s="389"/>
    </row>
    <row r="104" spans="2:10" x14ac:dyDescent="0.2">
      <c r="B104" s="290" t="s">
        <v>249</v>
      </c>
      <c r="C104" s="286">
        <v>7</v>
      </c>
      <c r="D104" s="287" t="s">
        <v>261</v>
      </c>
      <c r="E104" s="275">
        <v>5032173</v>
      </c>
      <c r="F104" s="288">
        <v>0.5</v>
      </c>
      <c r="G104" s="289">
        <v>10</v>
      </c>
      <c r="H104" s="275">
        <f>C104*E104*G104*F104</f>
        <v>176126055</v>
      </c>
      <c r="J104" s="389"/>
    </row>
    <row r="105" spans="2:10" x14ac:dyDescent="0.2">
      <c r="B105" s="290" t="s">
        <v>57</v>
      </c>
      <c r="C105" s="286">
        <v>7</v>
      </c>
      <c r="D105" s="287" t="s">
        <v>84</v>
      </c>
      <c r="E105" s="275">
        <v>1300000</v>
      </c>
      <c r="F105" s="288">
        <v>0.5</v>
      </c>
      <c r="G105" s="289">
        <v>10</v>
      </c>
      <c r="H105" s="275">
        <f>C105*E105*F105*G105</f>
        <v>45500000</v>
      </c>
      <c r="J105" s="389"/>
    </row>
    <row r="106" spans="2:10" x14ac:dyDescent="0.2">
      <c r="B106" s="291" t="s">
        <v>194</v>
      </c>
      <c r="C106" s="292">
        <v>7</v>
      </c>
      <c r="D106" s="270" t="s">
        <v>84</v>
      </c>
      <c r="E106" s="293">
        <v>155000</v>
      </c>
      <c r="F106" s="294">
        <v>0.5</v>
      </c>
      <c r="G106" s="291">
        <v>10</v>
      </c>
      <c r="H106" s="275">
        <f>C106*E106*F106*G106</f>
        <v>5425000</v>
      </c>
      <c r="J106" s="389"/>
    </row>
    <row r="107" spans="2:10" x14ac:dyDescent="0.2">
      <c r="B107" s="291" t="s">
        <v>353</v>
      </c>
      <c r="C107" s="291"/>
      <c r="D107" s="291"/>
      <c r="E107" s="293"/>
      <c r="F107" s="291"/>
      <c r="G107" s="291"/>
      <c r="H107" s="295" t="s">
        <v>78</v>
      </c>
      <c r="J107" s="389"/>
    </row>
    <row r="108" spans="2:10" ht="15" x14ac:dyDescent="0.2">
      <c r="B108" s="296" t="s">
        <v>33</v>
      </c>
      <c r="C108" s="297"/>
      <c r="D108" s="297"/>
      <c r="E108" s="297"/>
      <c r="F108" s="298"/>
      <c r="G108" s="298"/>
      <c r="H108" s="299">
        <f>SUM(H99:H107)</f>
        <v>320314491</v>
      </c>
      <c r="J108" s="389"/>
    </row>
    <row r="109" spans="2:10" ht="132.75" customHeight="1" x14ac:dyDescent="0.2">
      <c r="B109" s="300" t="s">
        <v>354</v>
      </c>
      <c r="C109" s="301"/>
      <c r="D109" s="301"/>
      <c r="E109" s="301"/>
      <c r="F109" s="301"/>
      <c r="G109" s="301"/>
      <c r="H109" s="301"/>
    </row>
    <row r="111" spans="2:10" x14ac:dyDescent="0.2">
      <c r="B111" s="726" t="str">
        <f>+B13</f>
        <v>9.6. Adopción, promoción y monitoreo de la política pública para la cadena de maíz.</v>
      </c>
      <c r="C111" s="727"/>
      <c r="D111" s="727"/>
      <c r="E111" s="727"/>
      <c r="F111" s="727"/>
      <c r="G111" s="727"/>
      <c r="H111" s="727"/>
    </row>
    <row r="112" spans="2:10" ht="15" x14ac:dyDescent="0.2">
      <c r="B112" s="302" t="s">
        <v>79</v>
      </c>
      <c r="C112" s="302" t="s">
        <v>59</v>
      </c>
      <c r="D112" s="302" t="s">
        <v>56</v>
      </c>
      <c r="E112" s="302" t="s">
        <v>55</v>
      </c>
      <c r="F112" s="302" t="s">
        <v>80</v>
      </c>
      <c r="G112" s="302" t="s">
        <v>81</v>
      </c>
      <c r="H112" s="302" t="s">
        <v>82</v>
      </c>
    </row>
    <row r="113" spans="2:10" x14ac:dyDescent="0.2">
      <c r="B113" s="105" t="s">
        <v>83</v>
      </c>
      <c r="C113" s="292">
        <v>7</v>
      </c>
      <c r="D113" s="291" t="s">
        <v>84</v>
      </c>
      <c r="E113" s="275">
        <v>500000</v>
      </c>
      <c r="F113" s="291"/>
      <c r="G113" s="291"/>
      <c r="H113" s="275">
        <f>+C113*E113</f>
        <v>3500000</v>
      </c>
      <c r="J113" s="389"/>
    </row>
    <row r="114" spans="2:10" x14ac:dyDescent="0.2">
      <c r="B114" s="105" t="s">
        <v>238</v>
      </c>
      <c r="C114" s="292">
        <v>19</v>
      </c>
      <c r="D114" s="291" t="s">
        <v>84</v>
      </c>
      <c r="E114" s="275">
        <v>100000</v>
      </c>
      <c r="F114" s="291"/>
      <c r="G114" s="291"/>
      <c r="H114" s="275">
        <f>+C114*E114</f>
        <v>1900000</v>
      </c>
      <c r="J114" s="389"/>
    </row>
    <row r="115" spans="2:10" x14ac:dyDescent="0.2">
      <c r="B115" s="290" t="s">
        <v>275</v>
      </c>
      <c r="C115" s="292">
        <v>8</v>
      </c>
      <c r="D115" s="291" t="s">
        <v>84</v>
      </c>
      <c r="E115" s="275">
        <v>2300000</v>
      </c>
      <c r="F115" s="291"/>
      <c r="G115" s="291"/>
      <c r="H115" s="275">
        <f>+C115*E115</f>
        <v>18400000</v>
      </c>
      <c r="J115" s="389"/>
    </row>
    <row r="116" spans="2:10" x14ac:dyDescent="0.2">
      <c r="B116" s="291" t="s">
        <v>282</v>
      </c>
      <c r="C116" s="292">
        <v>7</v>
      </c>
      <c r="D116" s="291" t="s">
        <v>84</v>
      </c>
      <c r="E116" s="275">
        <v>460000</v>
      </c>
      <c r="F116" s="291"/>
      <c r="G116" s="291"/>
      <c r="H116" s="275">
        <f t="shared" ref="H116" si="9">+C116*E116</f>
        <v>3220000</v>
      </c>
      <c r="J116" s="389"/>
    </row>
    <row r="117" spans="2:10" x14ac:dyDescent="0.2">
      <c r="B117" s="291" t="s">
        <v>90</v>
      </c>
      <c r="C117" s="292">
        <v>2</v>
      </c>
      <c r="D117" s="291" t="s">
        <v>84</v>
      </c>
      <c r="E117" s="275">
        <v>5661197</v>
      </c>
      <c r="F117" s="294">
        <v>0.5</v>
      </c>
      <c r="G117" s="291">
        <v>12</v>
      </c>
      <c r="H117" s="275">
        <f>+C117*E117*F117*G117</f>
        <v>67934364</v>
      </c>
      <c r="J117" s="389"/>
    </row>
    <row r="118" spans="2:10" x14ac:dyDescent="0.2">
      <c r="B118" s="290" t="s">
        <v>91</v>
      </c>
      <c r="C118" s="292">
        <v>2</v>
      </c>
      <c r="D118" s="291" t="s">
        <v>84</v>
      </c>
      <c r="E118" s="275">
        <v>957268</v>
      </c>
      <c r="F118" s="294"/>
      <c r="G118" s="291"/>
      <c r="H118" s="275">
        <f>C118*E118</f>
        <v>1914536</v>
      </c>
      <c r="J118" s="389"/>
    </row>
    <row r="119" spans="2:10" x14ac:dyDescent="0.2">
      <c r="B119" s="290" t="s">
        <v>355</v>
      </c>
      <c r="C119" s="292">
        <v>1</v>
      </c>
      <c r="D119" s="291" t="s">
        <v>84</v>
      </c>
      <c r="E119" s="275">
        <v>7862772</v>
      </c>
      <c r="F119" s="294"/>
      <c r="G119" s="291">
        <v>4</v>
      </c>
      <c r="H119" s="275">
        <f>+C119*E119*G119</f>
        <v>31451088</v>
      </c>
      <c r="J119" s="389"/>
    </row>
    <row r="120" spans="2:10" x14ac:dyDescent="0.2">
      <c r="B120" s="290" t="s">
        <v>249</v>
      </c>
      <c r="C120" s="286">
        <v>7</v>
      </c>
      <c r="D120" s="289" t="s">
        <v>261</v>
      </c>
      <c r="E120" s="275">
        <v>5032173</v>
      </c>
      <c r="F120" s="288">
        <v>0.5</v>
      </c>
      <c r="G120" s="289">
        <v>10</v>
      </c>
      <c r="H120" s="275">
        <f>C120*E120*G120*F120</f>
        <v>176126055</v>
      </c>
      <c r="J120" s="389"/>
    </row>
    <row r="121" spans="2:10" x14ac:dyDescent="0.2">
      <c r="B121" s="290" t="s">
        <v>57</v>
      </c>
      <c r="C121" s="286">
        <v>7</v>
      </c>
      <c r="D121" s="289" t="s">
        <v>84</v>
      </c>
      <c r="E121" s="275">
        <v>1300000</v>
      </c>
      <c r="F121" s="288">
        <v>0.5</v>
      </c>
      <c r="G121" s="289">
        <v>10</v>
      </c>
      <c r="H121" s="275">
        <f t="shared" ref="H121:H122" si="10">C121*E121*G121*F121</f>
        <v>45500000</v>
      </c>
      <c r="J121" s="389"/>
    </row>
    <row r="122" spans="2:10" x14ac:dyDescent="0.2">
      <c r="B122" s="291" t="s">
        <v>194</v>
      </c>
      <c r="C122" s="292">
        <v>7</v>
      </c>
      <c r="D122" s="291" t="s">
        <v>84</v>
      </c>
      <c r="E122" s="293">
        <v>155000</v>
      </c>
      <c r="F122" s="294">
        <v>0.5</v>
      </c>
      <c r="G122" s="291">
        <v>10</v>
      </c>
      <c r="H122" s="275">
        <f t="shared" si="10"/>
        <v>5425000</v>
      </c>
      <c r="J122" s="389"/>
    </row>
    <row r="123" spans="2:10" x14ac:dyDescent="0.2">
      <c r="B123" s="291" t="s">
        <v>187</v>
      </c>
      <c r="C123" s="291"/>
      <c r="D123" s="291"/>
      <c r="E123" s="293"/>
      <c r="F123" s="294"/>
      <c r="G123" s="291"/>
      <c r="H123" s="275" t="s">
        <v>78</v>
      </c>
      <c r="J123" s="389"/>
    </row>
    <row r="124" spans="2:10" ht="15" x14ac:dyDescent="0.2">
      <c r="B124" s="303" t="s">
        <v>96</v>
      </c>
      <c r="C124" s="304"/>
      <c r="D124" s="304"/>
      <c r="E124" s="305"/>
      <c r="F124" s="305"/>
      <c r="G124" s="304"/>
      <c r="H124" s="306">
        <f>SUM(H113:H122)</f>
        <v>355371043</v>
      </c>
      <c r="J124" s="389"/>
    </row>
    <row r="125" spans="2:10" ht="145.5" customHeight="1" x14ac:dyDescent="0.2">
      <c r="B125" s="282" t="s">
        <v>356</v>
      </c>
      <c r="C125" s="307"/>
      <c r="D125" s="307"/>
      <c r="E125" s="307"/>
      <c r="F125" s="307"/>
      <c r="G125" s="307"/>
      <c r="H125" s="307"/>
    </row>
  </sheetData>
  <sheetProtection algorithmName="SHA-512" hashValue="M/CV47tv0FtIpDiPOEYnhUKmv/YaRU5TblL6Pkv6w+TwXx9BhLwk+gu1Pq46aNSUeQoxPM+XiqaE8O+44Cr5jg==" saltValue="0bucm92W1P4m3GHSKeUaJQ==" spinCount="100000" sheet="1" objects="1" scenarios="1"/>
  <mergeCells count="6">
    <mergeCell ref="B17:H18"/>
    <mergeCell ref="B41:H41"/>
    <mergeCell ref="B80:H80"/>
    <mergeCell ref="B97:H97"/>
    <mergeCell ref="B111:H111"/>
    <mergeCell ref="B57:H57"/>
  </mergeCells>
  <phoneticPr fontId="28" type="noConversion"/>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0"/>
  <sheetViews>
    <sheetView zoomScale="70" zoomScaleNormal="70" workbookViewId="0">
      <pane xSplit="4" ySplit="1" topLeftCell="E2" activePane="bottomRight" state="frozen"/>
      <selection pane="topRight" activeCell="E1" sqref="E1"/>
      <selection pane="bottomLeft" activeCell="A2" sqref="A2"/>
      <selection pane="bottomRight" activeCell="C14" sqref="C14"/>
    </sheetView>
  </sheetViews>
  <sheetFormatPr baseColWidth="10" defaultColWidth="11.85546875" defaultRowHeight="15" x14ac:dyDescent="0.2"/>
  <cols>
    <col min="1" max="1" width="19.85546875" style="226" customWidth="1"/>
    <col min="2" max="2" width="36.7109375" style="225" customWidth="1"/>
    <col min="3" max="3" width="31.140625" style="226" customWidth="1"/>
    <col min="4" max="4" width="32.28515625" style="225" customWidth="1"/>
    <col min="5" max="5" width="116.42578125" style="420" customWidth="1"/>
    <col min="6" max="6" width="40" style="225" customWidth="1"/>
    <col min="7" max="16384" width="11.85546875" style="225"/>
  </cols>
  <sheetData>
    <row r="1" spans="1:6" ht="62.25" customHeight="1" x14ac:dyDescent="0.2">
      <c r="A1" s="223" t="s">
        <v>116</v>
      </c>
      <c r="B1" s="223" t="s">
        <v>117</v>
      </c>
      <c r="C1" s="224" t="s">
        <v>118</v>
      </c>
      <c r="D1" s="224" t="s">
        <v>119</v>
      </c>
      <c r="E1" s="412" t="s">
        <v>453</v>
      </c>
      <c r="F1" s="412" t="s">
        <v>454</v>
      </c>
    </row>
    <row r="2" spans="1:6" ht="178.5" x14ac:dyDescent="0.2">
      <c r="A2" s="393" t="s">
        <v>120</v>
      </c>
      <c r="B2" s="393" t="s">
        <v>121</v>
      </c>
      <c r="C2" s="393" t="s">
        <v>99</v>
      </c>
      <c r="D2" s="413" t="s">
        <v>100</v>
      </c>
      <c r="E2" s="414" t="s">
        <v>981</v>
      </c>
      <c r="F2" s="415">
        <f>'Estimación anualizada '!V7</f>
        <v>82195085383.75</v>
      </c>
    </row>
    <row r="3" spans="1:6" ht="216.6" customHeight="1" x14ac:dyDescent="0.2">
      <c r="A3" s="393" t="s">
        <v>120</v>
      </c>
      <c r="B3" s="393" t="s">
        <v>121</v>
      </c>
      <c r="C3" s="393" t="s">
        <v>99</v>
      </c>
      <c r="D3" s="413" t="s">
        <v>101</v>
      </c>
      <c r="E3" s="414" t="s">
        <v>982</v>
      </c>
      <c r="F3" s="415">
        <f>'Estimación anualizada '!V8</f>
        <v>51138546939.287483</v>
      </c>
    </row>
    <row r="4" spans="1:6" ht="318.75" x14ac:dyDescent="0.2">
      <c r="A4" s="393" t="s">
        <v>120</v>
      </c>
      <c r="B4" s="393" t="s">
        <v>332</v>
      </c>
      <c r="C4" s="393" t="s">
        <v>122</v>
      </c>
      <c r="D4" s="413" t="s">
        <v>333</v>
      </c>
      <c r="E4" s="414" t="s">
        <v>983</v>
      </c>
      <c r="F4" s="416">
        <f>'Estimación anualizada '!V10</f>
        <v>1016255147306</v>
      </c>
    </row>
    <row r="5" spans="1:6" ht="95.45" customHeight="1" x14ac:dyDescent="0.2">
      <c r="A5" s="393" t="s">
        <v>334</v>
      </c>
      <c r="B5" s="393" t="s">
        <v>332</v>
      </c>
      <c r="C5" s="393" t="s">
        <v>122</v>
      </c>
      <c r="D5" s="413" t="s">
        <v>335</v>
      </c>
      <c r="E5" s="414" t="s">
        <v>431</v>
      </c>
      <c r="F5" s="415">
        <f>'Estimación anualizada '!V11</f>
        <v>7515731518</v>
      </c>
    </row>
    <row r="6" spans="1:6" ht="198" customHeight="1" x14ac:dyDescent="0.2">
      <c r="A6" s="393" t="s">
        <v>120</v>
      </c>
      <c r="B6" s="393" t="s">
        <v>123</v>
      </c>
      <c r="C6" s="393" t="s">
        <v>124</v>
      </c>
      <c r="D6" s="413" t="s">
        <v>125</v>
      </c>
      <c r="E6" s="414" t="s">
        <v>422</v>
      </c>
      <c r="F6" s="415">
        <f>'Estimación anualizada '!V13</f>
        <v>25936173910</v>
      </c>
    </row>
    <row r="7" spans="1:6" ht="212.45" customHeight="1" x14ac:dyDescent="0.2">
      <c r="A7" s="393" t="s">
        <v>120</v>
      </c>
      <c r="B7" s="393" t="s">
        <v>126</v>
      </c>
      <c r="C7" s="393" t="s">
        <v>124</v>
      </c>
      <c r="D7" s="413" t="s">
        <v>127</v>
      </c>
      <c r="E7" s="414" t="s">
        <v>424</v>
      </c>
      <c r="F7" s="415">
        <f>'Estimación anualizada '!V14</f>
        <v>37997628165.5</v>
      </c>
    </row>
    <row r="8" spans="1:6" ht="331.5" customHeight="1" x14ac:dyDescent="0.2">
      <c r="A8" s="393" t="s">
        <v>120</v>
      </c>
      <c r="B8" s="393" t="s">
        <v>123</v>
      </c>
      <c r="C8" s="393" t="s">
        <v>124</v>
      </c>
      <c r="D8" s="413" t="s">
        <v>128</v>
      </c>
      <c r="E8" s="414" t="s">
        <v>984</v>
      </c>
      <c r="F8" s="415">
        <f>'Estimación anualizada '!V15</f>
        <v>1295488002608.7964</v>
      </c>
    </row>
    <row r="9" spans="1:6" ht="228.95" customHeight="1" x14ac:dyDescent="0.2">
      <c r="A9" s="393" t="s">
        <v>120</v>
      </c>
      <c r="B9" s="393" t="s">
        <v>123</v>
      </c>
      <c r="C9" s="393" t="s">
        <v>124</v>
      </c>
      <c r="D9" s="413" t="s">
        <v>336</v>
      </c>
      <c r="E9" s="414" t="s">
        <v>419</v>
      </c>
      <c r="F9" s="415">
        <f>'Estimación anualizada '!V16</f>
        <v>30338487270.195988</v>
      </c>
    </row>
    <row r="10" spans="1:6" ht="92.45" customHeight="1" x14ac:dyDescent="0.2">
      <c r="A10" s="393" t="s">
        <v>120</v>
      </c>
      <c r="B10" s="393" t="s">
        <v>123</v>
      </c>
      <c r="C10" s="393" t="s">
        <v>124</v>
      </c>
      <c r="D10" s="413" t="s">
        <v>337</v>
      </c>
      <c r="E10" s="414" t="s">
        <v>420</v>
      </c>
      <c r="F10" s="415">
        <f>'Estimación anualizada '!V17</f>
        <v>10740529210.194</v>
      </c>
    </row>
    <row r="11" spans="1:6" ht="64.5" customHeight="1" x14ac:dyDescent="0.2">
      <c r="A11" s="394" t="s">
        <v>129</v>
      </c>
      <c r="B11" s="394" t="s">
        <v>130</v>
      </c>
      <c r="C11" s="394" t="s">
        <v>131</v>
      </c>
      <c r="D11" s="417" t="s">
        <v>132</v>
      </c>
      <c r="E11" s="414" t="s">
        <v>293</v>
      </c>
      <c r="F11" s="415">
        <f>'Estimación anualizada '!V19</f>
        <v>3089539635</v>
      </c>
    </row>
    <row r="12" spans="1:6" ht="184.5" customHeight="1" x14ac:dyDescent="0.2">
      <c r="A12" s="394" t="s">
        <v>129</v>
      </c>
      <c r="B12" s="394" t="s">
        <v>130</v>
      </c>
      <c r="C12" s="394" t="s">
        <v>131</v>
      </c>
      <c r="D12" s="417" t="s">
        <v>133</v>
      </c>
      <c r="E12" s="414" t="s">
        <v>985</v>
      </c>
      <c r="F12" s="415">
        <f>'Estimación anualizada '!V20</f>
        <v>101329622174.50002</v>
      </c>
    </row>
    <row r="13" spans="1:6" ht="127.5" customHeight="1" x14ac:dyDescent="0.2">
      <c r="A13" s="393" t="s">
        <v>129</v>
      </c>
      <c r="B13" s="393" t="s">
        <v>134</v>
      </c>
      <c r="C13" s="393" t="s">
        <v>135</v>
      </c>
      <c r="D13" s="413" t="s">
        <v>136</v>
      </c>
      <c r="E13" s="414" t="s">
        <v>382</v>
      </c>
      <c r="F13" s="415">
        <f>'Estimación anualizada '!V22</f>
        <v>21593230348.063999</v>
      </c>
    </row>
    <row r="14" spans="1:6" ht="246" customHeight="1" x14ac:dyDescent="0.2">
      <c r="A14" s="393" t="s">
        <v>137</v>
      </c>
      <c r="B14" s="393" t="s">
        <v>138</v>
      </c>
      <c r="C14" s="393" t="s">
        <v>139</v>
      </c>
      <c r="D14" s="413" t="s">
        <v>140</v>
      </c>
      <c r="E14" s="414" t="s">
        <v>986</v>
      </c>
      <c r="F14" s="415">
        <f>'Estimación anualizada '!V24</f>
        <v>64607271652</v>
      </c>
    </row>
    <row r="15" spans="1:6" ht="150.94999999999999" customHeight="1" x14ac:dyDescent="0.2">
      <c r="A15" s="393" t="s">
        <v>137</v>
      </c>
      <c r="B15" s="393" t="s">
        <v>138</v>
      </c>
      <c r="C15" s="393" t="s">
        <v>139</v>
      </c>
      <c r="D15" s="413" t="s">
        <v>141</v>
      </c>
      <c r="E15" s="414" t="s">
        <v>987</v>
      </c>
      <c r="F15" s="415">
        <f>'Estimación anualizada '!V25</f>
        <v>13629695772</v>
      </c>
    </row>
    <row r="16" spans="1:6" ht="237.6" customHeight="1" x14ac:dyDescent="0.2">
      <c r="A16" s="393" t="s">
        <v>137</v>
      </c>
      <c r="B16" s="393" t="s">
        <v>138</v>
      </c>
      <c r="C16" s="393" t="s">
        <v>139</v>
      </c>
      <c r="D16" s="413" t="s">
        <v>142</v>
      </c>
      <c r="E16" s="414" t="s">
        <v>988</v>
      </c>
      <c r="F16" s="415">
        <f>'Estimación anualizada '!V26</f>
        <v>81822881050.094788</v>
      </c>
    </row>
    <row r="17" spans="1:6" ht="182.45" customHeight="1" x14ac:dyDescent="0.2">
      <c r="A17" s="393" t="s">
        <v>137</v>
      </c>
      <c r="B17" s="393" t="s">
        <v>138</v>
      </c>
      <c r="C17" s="393" t="s">
        <v>139</v>
      </c>
      <c r="D17" s="413" t="s">
        <v>175</v>
      </c>
      <c r="E17" s="414" t="s">
        <v>989</v>
      </c>
      <c r="F17" s="415">
        <f>'Estimación anualizada '!V27</f>
        <v>45018273391.800011</v>
      </c>
    </row>
    <row r="18" spans="1:6" ht="127.5" customHeight="1" x14ac:dyDescent="0.2">
      <c r="A18" s="393" t="s">
        <v>137</v>
      </c>
      <c r="B18" s="393" t="s">
        <v>338</v>
      </c>
      <c r="C18" s="393" t="s">
        <v>339</v>
      </c>
      <c r="D18" s="413" t="s">
        <v>340</v>
      </c>
      <c r="E18" s="414" t="s">
        <v>435</v>
      </c>
      <c r="F18" s="415">
        <f>'Estimación anualizada '!V28</f>
        <v>3742341787.5</v>
      </c>
    </row>
    <row r="19" spans="1:6" ht="105" customHeight="1" x14ac:dyDescent="0.2">
      <c r="A19" s="393" t="s">
        <v>137</v>
      </c>
      <c r="B19" s="393" t="s">
        <v>143</v>
      </c>
      <c r="C19" s="393" t="s">
        <v>144</v>
      </c>
      <c r="D19" s="413" t="s">
        <v>145</v>
      </c>
      <c r="E19" s="414" t="s">
        <v>378</v>
      </c>
      <c r="F19" s="415">
        <f>'Estimación anualizada '!V30</f>
        <v>14243132557.5</v>
      </c>
    </row>
    <row r="20" spans="1:6" ht="129" customHeight="1" x14ac:dyDescent="0.2">
      <c r="A20" s="393" t="s">
        <v>137</v>
      </c>
      <c r="B20" s="393" t="s">
        <v>143</v>
      </c>
      <c r="C20" s="393" t="s">
        <v>144</v>
      </c>
      <c r="D20" s="413" t="s">
        <v>146</v>
      </c>
      <c r="E20" s="414" t="s">
        <v>990</v>
      </c>
      <c r="F20" s="415">
        <f>'Estimación anualizada '!V31</f>
        <v>37995941791</v>
      </c>
    </row>
    <row r="21" spans="1:6" ht="115.5" customHeight="1" x14ac:dyDescent="0.2">
      <c r="A21" s="394" t="s">
        <v>147</v>
      </c>
      <c r="B21" s="394" t="s">
        <v>148</v>
      </c>
      <c r="C21" s="394" t="s">
        <v>149</v>
      </c>
      <c r="D21" s="417" t="s">
        <v>150</v>
      </c>
      <c r="E21" s="414" t="s">
        <v>991</v>
      </c>
      <c r="F21" s="415">
        <f>'Estimación anualizada '!V33</f>
        <v>7040381400.5094995</v>
      </c>
    </row>
    <row r="22" spans="1:6" ht="114.6" customHeight="1" x14ac:dyDescent="0.2">
      <c r="A22" s="394" t="s">
        <v>147</v>
      </c>
      <c r="B22" s="394" t="s">
        <v>148</v>
      </c>
      <c r="C22" s="394" t="s">
        <v>151</v>
      </c>
      <c r="D22" s="417" t="s">
        <v>152</v>
      </c>
      <c r="E22" s="414" t="s">
        <v>387</v>
      </c>
      <c r="F22" s="415">
        <f>'Estimación anualizada '!V34</f>
        <v>20193874384</v>
      </c>
    </row>
    <row r="23" spans="1:6" ht="144.6" customHeight="1" x14ac:dyDescent="0.2">
      <c r="A23" s="394" t="s">
        <v>147</v>
      </c>
      <c r="B23" s="394" t="s">
        <v>153</v>
      </c>
      <c r="C23" s="394" t="s">
        <v>154</v>
      </c>
      <c r="D23" s="417" t="s">
        <v>155</v>
      </c>
      <c r="E23" s="414" t="s">
        <v>992</v>
      </c>
      <c r="F23" s="415">
        <f>'Estimación anualizada '!V36</f>
        <v>2057705527.5</v>
      </c>
    </row>
    <row r="24" spans="1:6" ht="114.6" customHeight="1" x14ac:dyDescent="0.2">
      <c r="A24" s="394" t="s">
        <v>147</v>
      </c>
      <c r="B24" s="394" t="s">
        <v>153</v>
      </c>
      <c r="C24" s="394" t="s">
        <v>156</v>
      </c>
      <c r="D24" s="417" t="s">
        <v>157</v>
      </c>
      <c r="E24" s="414" t="s">
        <v>438</v>
      </c>
      <c r="F24" s="415">
        <f>'Estimación anualizada '!V37</f>
        <v>1566164870</v>
      </c>
    </row>
    <row r="25" spans="1:6" ht="141.94999999999999" customHeight="1" x14ac:dyDescent="0.2">
      <c r="A25" s="393" t="s">
        <v>147</v>
      </c>
      <c r="B25" s="393" t="s">
        <v>341</v>
      </c>
      <c r="C25" s="393" t="s">
        <v>156</v>
      </c>
      <c r="D25" s="413" t="s">
        <v>342</v>
      </c>
      <c r="E25" s="414" t="s">
        <v>364</v>
      </c>
      <c r="F25" s="415">
        <f>'Estimación anualizada '!V38</f>
        <v>3917872174.5</v>
      </c>
    </row>
    <row r="26" spans="1:6" ht="126" customHeight="1" x14ac:dyDescent="0.2">
      <c r="A26" s="393" t="s">
        <v>147</v>
      </c>
      <c r="B26" s="393" t="s">
        <v>153</v>
      </c>
      <c r="C26" s="393" t="s">
        <v>156</v>
      </c>
      <c r="D26" s="413" t="s">
        <v>343</v>
      </c>
      <c r="E26" s="414" t="s">
        <v>358</v>
      </c>
      <c r="F26" s="415">
        <f>'Estimación anualizada '!V39</f>
        <v>2117394813.75</v>
      </c>
    </row>
    <row r="27" spans="1:6" ht="73.5" customHeight="1" x14ac:dyDescent="0.2">
      <c r="A27" s="393" t="s">
        <v>147</v>
      </c>
      <c r="B27" s="393" t="s">
        <v>153</v>
      </c>
      <c r="C27" s="393" t="s">
        <v>156</v>
      </c>
      <c r="D27" s="413" t="s">
        <v>344</v>
      </c>
      <c r="E27" s="414" t="s">
        <v>354</v>
      </c>
      <c r="F27" s="415">
        <f>'Estimación anualizada '!V40</f>
        <v>960943473</v>
      </c>
    </row>
    <row r="28" spans="1:6" ht="90.95" customHeight="1" x14ac:dyDescent="0.2">
      <c r="A28" s="393" t="s">
        <v>147</v>
      </c>
      <c r="B28" s="393" t="s">
        <v>153</v>
      </c>
      <c r="C28" s="393" t="s">
        <v>156</v>
      </c>
      <c r="D28" s="413" t="s">
        <v>345</v>
      </c>
      <c r="E28" s="414" t="s">
        <v>356</v>
      </c>
      <c r="F28" s="415">
        <f>'Estimación anualizada '!V41</f>
        <v>1066113129</v>
      </c>
    </row>
    <row r="29" spans="1:6" ht="51.75" customHeight="1" x14ac:dyDescent="0.2">
      <c r="A29" s="418" t="s">
        <v>286</v>
      </c>
      <c r="C29" s="225"/>
      <c r="E29" s="419"/>
      <c r="F29" s="418">
        <f>SUM(F2:F28)</f>
        <v>2983597712243.4414</v>
      </c>
    </row>
    <row r="30" spans="1:6" x14ac:dyDescent="0.2">
      <c r="F30" s="421"/>
    </row>
  </sheetData>
  <sheetProtection algorithmName="SHA-512" hashValue="vnTK6wwGHlYsD9hhVG+jBOo/bJh+mOvoBdbckdzjLDCEVbsjV+vwAs8CU+0he9KtD+ry9yoMAcOa5guamTjAlw==" saltValue="5R11yCg1X1bL/kydW/pTS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Z23"/>
  <sheetViews>
    <sheetView showGridLines="0" zoomScale="80" zoomScaleNormal="80" workbookViewId="0">
      <selection activeCell="E8" sqref="E8:O8"/>
    </sheetView>
  </sheetViews>
  <sheetFormatPr baseColWidth="10" defaultColWidth="10.85546875" defaultRowHeight="14.25" x14ac:dyDescent="0.2"/>
  <cols>
    <col min="1" max="1" width="0.85546875" style="25" customWidth="1"/>
    <col min="2" max="2" width="23" style="25" customWidth="1"/>
    <col min="3" max="3" width="18.42578125" style="25" customWidth="1"/>
    <col min="4" max="4" width="12.42578125" style="25" customWidth="1"/>
    <col min="5" max="5" width="11.28515625" style="25" customWidth="1"/>
    <col min="6" max="6" width="13.7109375" style="25" customWidth="1"/>
    <col min="7" max="8" width="13.140625" style="25" customWidth="1"/>
    <col min="9" max="9" width="12.28515625" style="25" customWidth="1"/>
    <col min="10" max="14" width="8.28515625" style="25" customWidth="1"/>
    <col min="15" max="15" width="12.140625" style="25" customWidth="1"/>
    <col min="16" max="16" width="16.42578125" style="25" customWidth="1"/>
    <col min="17" max="17" width="19.140625" style="25" customWidth="1"/>
    <col min="18" max="18" width="3" style="26" customWidth="1"/>
    <col min="19" max="19" width="5.42578125" style="26" bestFit="1" customWidth="1"/>
    <col min="20" max="22" width="2.85546875" style="26" customWidth="1"/>
    <col min="23" max="26" width="11.140625" style="26" bestFit="1" customWidth="1"/>
    <col min="27" max="16384" width="10.85546875" style="26"/>
  </cols>
  <sheetData>
    <row r="1" spans="1:26" ht="15" customHeight="1" x14ac:dyDescent="0.2">
      <c r="B1" s="653"/>
      <c r="C1" s="654"/>
      <c r="D1" s="654"/>
      <c r="E1" s="659" t="s">
        <v>37</v>
      </c>
      <c r="F1" s="660"/>
      <c r="G1" s="660"/>
      <c r="H1" s="660"/>
      <c r="I1" s="660"/>
      <c r="J1" s="660"/>
      <c r="K1" s="660"/>
      <c r="L1" s="660"/>
      <c r="M1" s="660"/>
      <c r="N1" s="660"/>
      <c r="O1" s="660"/>
      <c r="P1" s="661"/>
      <c r="Q1" s="662"/>
    </row>
    <row r="2" spans="1:26" x14ac:dyDescent="0.2">
      <c r="B2" s="655"/>
      <c r="C2" s="656"/>
      <c r="D2" s="656"/>
      <c r="E2" s="660"/>
      <c r="F2" s="660"/>
      <c r="G2" s="660"/>
      <c r="H2" s="660"/>
      <c r="I2" s="660"/>
      <c r="J2" s="660"/>
      <c r="K2" s="660"/>
      <c r="L2" s="660"/>
      <c r="M2" s="660"/>
      <c r="N2" s="660"/>
      <c r="O2" s="660"/>
      <c r="P2" s="661"/>
      <c r="Q2" s="662"/>
    </row>
    <row r="3" spans="1:26" ht="28.5" customHeight="1" x14ac:dyDescent="0.2">
      <c r="B3" s="657"/>
      <c r="C3" s="658"/>
      <c r="D3" s="658"/>
      <c r="E3" s="660"/>
      <c r="F3" s="660"/>
      <c r="G3" s="660"/>
      <c r="H3" s="660"/>
      <c r="I3" s="660"/>
      <c r="J3" s="660"/>
      <c r="K3" s="660"/>
      <c r="L3" s="660"/>
      <c r="M3" s="660"/>
      <c r="N3" s="660"/>
      <c r="O3" s="660"/>
      <c r="P3" s="661"/>
      <c r="Q3" s="662"/>
    </row>
    <row r="4" spans="1:26" ht="28.5" customHeight="1" x14ac:dyDescent="0.2">
      <c r="B4" s="27"/>
      <c r="C4" s="27"/>
      <c r="D4" s="27"/>
      <c r="E4" s="28"/>
      <c r="F4" s="28"/>
      <c r="G4" s="28"/>
      <c r="H4" s="28"/>
      <c r="I4" s="28"/>
      <c r="J4" s="28"/>
      <c r="K4" s="28"/>
      <c r="L4" s="28"/>
      <c r="M4" s="28"/>
      <c r="N4" s="28"/>
      <c r="O4" s="28"/>
      <c r="P4" s="27"/>
      <c r="Q4" s="27"/>
    </row>
    <row r="5" spans="1:26" ht="50.25" customHeight="1" x14ac:dyDescent="0.2">
      <c r="B5" s="649" t="s">
        <v>1</v>
      </c>
      <c r="C5" s="650"/>
      <c r="D5" s="650"/>
      <c r="E5" s="651" t="s">
        <v>38</v>
      </c>
      <c r="F5" s="652"/>
      <c r="G5" s="652"/>
      <c r="H5" s="652"/>
      <c r="I5" s="652"/>
      <c r="J5" s="652"/>
      <c r="K5" s="652"/>
      <c r="L5" s="652"/>
      <c r="M5" s="652"/>
      <c r="N5" s="652"/>
      <c r="O5" s="652"/>
      <c r="P5" s="27"/>
      <c r="Q5" s="27"/>
    </row>
    <row r="6" spans="1:26" ht="69" customHeight="1" x14ac:dyDescent="0.2">
      <c r="B6" s="649" t="s">
        <v>39</v>
      </c>
      <c r="C6" s="650"/>
      <c r="D6" s="650"/>
      <c r="E6" s="651" t="s">
        <v>40</v>
      </c>
      <c r="F6" s="652"/>
      <c r="G6" s="652"/>
      <c r="H6" s="652"/>
      <c r="I6" s="652"/>
      <c r="J6" s="652"/>
      <c r="K6" s="652"/>
      <c r="L6" s="652"/>
      <c r="M6" s="652"/>
      <c r="N6" s="652"/>
      <c r="O6" s="652"/>
      <c r="P6" s="27"/>
      <c r="Q6" s="27"/>
    </row>
    <row r="7" spans="1:26" ht="78.75" customHeight="1" x14ac:dyDescent="0.2">
      <c r="B7" s="649" t="s">
        <v>41</v>
      </c>
      <c r="C7" s="650"/>
      <c r="D7" s="650"/>
      <c r="E7" s="651" t="s">
        <v>42</v>
      </c>
      <c r="F7" s="652"/>
      <c r="G7" s="652"/>
      <c r="H7" s="652"/>
      <c r="I7" s="652"/>
      <c r="J7" s="652"/>
      <c r="K7" s="652"/>
      <c r="L7" s="652"/>
      <c r="M7" s="652"/>
      <c r="N7" s="652"/>
      <c r="O7" s="652"/>
      <c r="P7" s="27"/>
      <c r="Q7" s="27"/>
    </row>
    <row r="8" spans="1:26" ht="87" customHeight="1" x14ac:dyDescent="0.2">
      <c r="B8" s="649" t="s">
        <v>43</v>
      </c>
      <c r="C8" s="650"/>
      <c r="D8" s="650"/>
      <c r="E8" s="651" t="s">
        <v>442</v>
      </c>
      <c r="F8" s="652"/>
      <c r="G8" s="652"/>
      <c r="H8" s="652"/>
      <c r="I8" s="652"/>
      <c r="J8" s="652"/>
      <c r="K8" s="652"/>
      <c r="L8" s="652"/>
      <c r="M8" s="652"/>
      <c r="N8" s="652"/>
      <c r="O8" s="652"/>
      <c r="P8" s="27"/>
      <c r="Q8" s="27"/>
    </row>
    <row r="9" spans="1:26" ht="219.95" customHeight="1" x14ac:dyDescent="0.2">
      <c r="B9" s="649" t="s">
        <v>44</v>
      </c>
      <c r="C9" s="650"/>
      <c r="D9" s="650"/>
      <c r="E9" s="651" t="s">
        <v>45</v>
      </c>
      <c r="F9" s="652"/>
      <c r="G9" s="652"/>
      <c r="H9" s="652"/>
      <c r="I9" s="652"/>
      <c r="J9" s="652"/>
      <c r="K9" s="652"/>
      <c r="L9" s="652"/>
      <c r="M9" s="652"/>
      <c r="N9" s="652"/>
      <c r="O9" s="652"/>
      <c r="P9" s="27"/>
      <c r="Q9" s="27"/>
    </row>
    <row r="10" spans="1:26" s="1" customFormat="1" ht="124.5" customHeight="1" x14ac:dyDescent="0.2">
      <c r="A10" s="29"/>
      <c r="B10" s="649" t="s">
        <v>46</v>
      </c>
      <c r="C10" s="650"/>
      <c r="D10" s="650"/>
      <c r="E10" s="673" t="s">
        <v>47</v>
      </c>
      <c r="F10" s="674"/>
      <c r="G10" s="674"/>
      <c r="H10" s="674"/>
      <c r="I10" s="674"/>
      <c r="J10" s="674"/>
      <c r="K10" s="674"/>
      <c r="L10" s="674"/>
      <c r="M10" s="674"/>
      <c r="N10" s="674"/>
      <c r="O10" s="674"/>
      <c r="P10" s="30"/>
      <c r="Q10" s="30"/>
    </row>
    <row r="11" spans="1:26" ht="39.75" customHeight="1" x14ac:dyDescent="0.2">
      <c r="B11" s="27"/>
      <c r="C11" s="27"/>
      <c r="D11" s="27"/>
      <c r="E11" s="31"/>
      <c r="F11" s="31"/>
      <c r="G11" s="31"/>
      <c r="H11" s="31"/>
      <c r="I11" s="31"/>
      <c r="J11" s="31"/>
      <c r="K11" s="31"/>
      <c r="L11" s="31"/>
      <c r="M11" s="31"/>
      <c r="N11" s="31"/>
      <c r="O11" s="31"/>
      <c r="P11" s="27"/>
      <c r="Q11" s="27"/>
    </row>
    <row r="12" spans="1:26" ht="20.25" customHeight="1" x14ac:dyDescent="0.25">
      <c r="B12" s="675" t="s">
        <v>48</v>
      </c>
      <c r="C12" s="676"/>
      <c r="D12" s="676"/>
      <c r="E12" s="676"/>
      <c r="F12" s="676"/>
      <c r="G12" s="676"/>
      <c r="H12" s="676"/>
      <c r="I12" s="676"/>
      <c r="J12" s="676"/>
      <c r="K12" s="676"/>
      <c r="L12" s="676"/>
      <c r="M12" s="676"/>
      <c r="N12" s="676"/>
      <c r="O12" s="676"/>
      <c r="P12" s="27"/>
      <c r="Q12" s="27"/>
    </row>
    <row r="14" spans="1:26" ht="48" customHeight="1" x14ac:dyDescent="0.2">
      <c r="B14" s="677" t="s">
        <v>49</v>
      </c>
      <c r="C14" s="678"/>
      <c r="D14" s="678"/>
      <c r="E14" s="679" t="s">
        <v>75</v>
      </c>
      <c r="F14" s="680"/>
      <c r="G14" s="680"/>
      <c r="H14" s="680"/>
      <c r="I14" s="680"/>
      <c r="J14" s="680"/>
      <c r="K14" s="680"/>
      <c r="L14" s="680"/>
      <c r="M14" s="680"/>
      <c r="N14" s="680"/>
      <c r="O14" s="681"/>
      <c r="P14" s="26"/>
      <c r="Q14" s="26"/>
    </row>
    <row r="15" spans="1:26" ht="26.25" customHeight="1" x14ac:dyDescent="0.2">
      <c r="B15" s="663" t="s">
        <v>50</v>
      </c>
      <c r="C15" s="664"/>
      <c r="D15" s="664"/>
      <c r="E15" s="682" t="s">
        <v>51</v>
      </c>
      <c r="F15" s="683"/>
      <c r="G15" s="683"/>
      <c r="H15" s="683"/>
      <c r="I15" s="683"/>
      <c r="J15" s="683"/>
      <c r="K15" s="683"/>
      <c r="L15" s="683"/>
      <c r="M15" s="683"/>
      <c r="N15" s="683"/>
      <c r="O15" s="643"/>
      <c r="P15" s="26"/>
      <c r="Q15" s="26"/>
    </row>
    <row r="16" spans="1:26" ht="136.5" customHeight="1" x14ac:dyDescent="0.2">
      <c r="A16" s="29"/>
      <c r="B16" s="663" t="s">
        <v>52</v>
      </c>
      <c r="C16" s="664"/>
      <c r="D16" s="664"/>
      <c r="E16" s="665" t="s">
        <v>53</v>
      </c>
      <c r="F16" s="666"/>
      <c r="G16" s="666"/>
      <c r="H16" s="666"/>
      <c r="I16" s="666"/>
      <c r="J16" s="666"/>
      <c r="K16" s="666"/>
      <c r="L16" s="666"/>
      <c r="M16" s="666"/>
      <c r="N16" s="666"/>
      <c r="O16" s="667"/>
      <c r="P16" s="26"/>
      <c r="Q16" s="26"/>
      <c r="Y16" s="32"/>
      <c r="Z16" s="32"/>
    </row>
    <row r="17" spans="1:17" x14ac:dyDescent="0.2">
      <c r="A17" s="29"/>
      <c r="B17" s="668" t="s">
        <v>54</v>
      </c>
      <c r="C17" s="669"/>
      <c r="D17" s="669"/>
      <c r="E17" s="669"/>
      <c r="F17" s="669"/>
      <c r="G17" s="669"/>
      <c r="H17" s="669"/>
      <c r="I17" s="669"/>
      <c r="J17" s="669"/>
      <c r="K17" s="669"/>
      <c r="L17" s="669"/>
      <c r="M17" s="669"/>
      <c r="N17" s="669"/>
      <c r="O17" s="670"/>
      <c r="P17" s="26"/>
      <c r="Q17" s="26"/>
    </row>
    <row r="18" spans="1:17" x14ac:dyDescent="0.2">
      <c r="A18" s="29"/>
      <c r="B18" s="33"/>
      <c r="G18" s="34"/>
      <c r="H18" s="34"/>
      <c r="I18" s="34"/>
      <c r="J18" s="34"/>
      <c r="K18" s="34"/>
      <c r="L18" s="34"/>
      <c r="M18" s="34"/>
      <c r="N18" s="34"/>
      <c r="O18" s="32"/>
      <c r="P18" s="26"/>
      <c r="Q18" s="26"/>
    </row>
    <row r="19" spans="1:17" x14ac:dyDescent="0.2">
      <c r="A19" s="29"/>
      <c r="B19" s="671"/>
      <c r="C19" s="672"/>
      <c r="D19" s="672"/>
      <c r="E19" s="672"/>
      <c r="F19" s="672"/>
      <c r="G19" s="672"/>
      <c r="H19" s="672"/>
      <c r="I19" s="672"/>
      <c r="J19" s="672"/>
      <c r="K19" s="672"/>
      <c r="L19" s="672"/>
      <c r="M19" s="672"/>
      <c r="N19" s="672"/>
      <c r="O19" s="672"/>
      <c r="P19" s="26"/>
      <c r="Q19" s="26"/>
    </row>
    <row r="20" spans="1:17" x14ac:dyDescent="0.2">
      <c r="A20" s="29"/>
      <c r="B20" s="672"/>
      <c r="C20" s="672"/>
      <c r="D20" s="672"/>
      <c r="E20" s="672"/>
      <c r="F20" s="672"/>
      <c r="G20" s="672"/>
      <c r="H20" s="672"/>
      <c r="I20" s="672"/>
      <c r="J20" s="672"/>
      <c r="K20" s="672"/>
      <c r="L20" s="672"/>
      <c r="M20" s="672"/>
      <c r="N20" s="672"/>
      <c r="O20" s="672"/>
      <c r="P20" s="26"/>
      <c r="Q20" s="26"/>
    </row>
    <row r="21" spans="1:17" x14ac:dyDescent="0.2">
      <c r="A21" s="29"/>
      <c r="B21" s="672"/>
      <c r="C21" s="672"/>
      <c r="D21" s="672"/>
      <c r="E21" s="672"/>
      <c r="F21" s="672"/>
      <c r="G21" s="672"/>
      <c r="H21" s="672"/>
      <c r="I21" s="672"/>
      <c r="J21" s="672"/>
      <c r="K21" s="672"/>
      <c r="L21" s="672"/>
      <c r="M21" s="672"/>
      <c r="N21" s="672"/>
      <c r="O21" s="672"/>
      <c r="P21" s="26"/>
      <c r="Q21" s="26"/>
    </row>
    <row r="22" spans="1:17" x14ac:dyDescent="0.2">
      <c r="A22" s="29"/>
      <c r="B22" s="35"/>
      <c r="C22" s="35"/>
      <c r="D22" s="35"/>
      <c r="E22" s="35"/>
      <c r="F22" s="35"/>
      <c r="G22" s="35"/>
      <c r="H22" s="35"/>
      <c r="I22" s="35"/>
      <c r="J22" s="35"/>
      <c r="K22" s="35"/>
      <c r="L22" s="35"/>
      <c r="M22" s="35"/>
      <c r="N22" s="35"/>
      <c r="O22" s="35"/>
      <c r="P22" s="26"/>
      <c r="Q22" s="26"/>
    </row>
    <row r="23" spans="1:17" x14ac:dyDescent="0.2">
      <c r="A23" s="29"/>
      <c r="B23" s="36"/>
      <c r="G23" s="34"/>
      <c r="H23" s="34"/>
      <c r="I23" s="34"/>
      <c r="J23" s="34"/>
      <c r="K23" s="34"/>
      <c r="L23" s="34"/>
      <c r="M23" s="34"/>
      <c r="N23" s="34"/>
      <c r="O23" s="34"/>
      <c r="P23" s="26"/>
      <c r="Q23" s="26"/>
    </row>
  </sheetData>
  <sheetProtection algorithmName="SHA-512" hashValue="CT5eyC0jGodm0rS0u1Qyke3GkoO/b5c3KyS/a8L/JXtdl1PlVFH35IM9uRv7bO/O9G35tFtXSfVzHYseZY5dtQ==" saltValue="7vm9q9VuRgHfZzVeT7hmrg==" spinCount="100000" sheet="1" objects="1" scenarios="1"/>
  <mergeCells count="24">
    <mergeCell ref="B16:D16"/>
    <mergeCell ref="E16:O16"/>
    <mergeCell ref="B17:O17"/>
    <mergeCell ref="B19:O21"/>
    <mergeCell ref="B10:D10"/>
    <mergeCell ref="E10:O10"/>
    <mergeCell ref="B12:O12"/>
    <mergeCell ref="B14:D14"/>
    <mergeCell ref="E14:O14"/>
    <mergeCell ref="B15:D15"/>
    <mergeCell ref="E15:O15"/>
    <mergeCell ref="B7:D7"/>
    <mergeCell ref="E7:O7"/>
    <mergeCell ref="B8:D8"/>
    <mergeCell ref="E8:O8"/>
    <mergeCell ref="B9:D9"/>
    <mergeCell ref="E9:O9"/>
    <mergeCell ref="B6:D6"/>
    <mergeCell ref="E6:O6"/>
    <mergeCell ref="B1:D3"/>
    <mergeCell ref="E1:O3"/>
    <mergeCell ref="P1:Q3"/>
    <mergeCell ref="B5:D5"/>
    <mergeCell ref="E5:O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0"/>
  <sheetViews>
    <sheetView showGridLines="0" topLeftCell="A642" zoomScale="80" zoomScaleNormal="80" workbookViewId="0">
      <selection activeCell="A672" sqref="A672:XFD681"/>
    </sheetView>
  </sheetViews>
  <sheetFormatPr baseColWidth="10" defaultColWidth="11.42578125" defaultRowHeight="14.25" x14ac:dyDescent="0.2"/>
  <cols>
    <col min="1" max="1" width="11.42578125" style="102"/>
    <col min="2" max="2" width="89.42578125" style="102" customWidth="1"/>
    <col min="3" max="3" width="50.85546875" style="102" customWidth="1"/>
    <col min="4" max="4" width="38.140625" style="102" customWidth="1"/>
    <col min="5" max="5" width="27.42578125" style="102" customWidth="1"/>
    <col min="6" max="6" width="24.28515625" style="102" customWidth="1"/>
    <col min="7" max="7" width="24.140625" style="102" customWidth="1"/>
    <col min="8" max="8" width="29.28515625" style="102" customWidth="1"/>
    <col min="9" max="9" width="12.85546875" style="102" bestFit="1" customWidth="1"/>
    <col min="10" max="10" width="16.140625" style="102" customWidth="1"/>
    <col min="11" max="11" width="19.140625" style="102" customWidth="1"/>
    <col min="12" max="12" width="17.28515625" style="102" customWidth="1"/>
    <col min="13" max="13" width="15.42578125" style="102" customWidth="1"/>
    <col min="14" max="14" width="18.42578125" style="102" customWidth="1"/>
    <col min="15" max="15" width="23.85546875" style="102" customWidth="1"/>
    <col min="16" max="16" width="19.85546875" style="102" bestFit="1" customWidth="1"/>
    <col min="17" max="17" width="18.85546875" style="102" bestFit="1" customWidth="1"/>
    <col min="18" max="18" width="16.85546875" style="102" customWidth="1"/>
    <col min="19" max="16384" width="11.42578125" style="102"/>
  </cols>
  <sheetData>
    <row r="1" spans="1:10" ht="15" x14ac:dyDescent="0.25">
      <c r="B1" s="705" t="s">
        <v>7</v>
      </c>
      <c r="C1" s="705"/>
      <c r="D1" s="705"/>
      <c r="E1" s="705"/>
      <c r="F1" s="705"/>
      <c r="G1" s="705"/>
      <c r="H1" s="705"/>
      <c r="I1" s="705"/>
      <c r="J1" s="705"/>
    </row>
    <row r="2" spans="1:10" ht="15" x14ac:dyDescent="0.25">
      <c r="A2" s="103"/>
      <c r="B2" s="422"/>
      <c r="C2" s="422"/>
      <c r="D2" s="422"/>
      <c r="E2" s="422"/>
      <c r="F2" s="422"/>
      <c r="G2" s="422"/>
      <c r="H2" s="422"/>
      <c r="I2" s="422"/>
      <c r="J2" s="422"/>
    </row>
    <row r="3" spans="1:10" ht="15" x14ac:dyDescent="0.25">
      <c r="B3" s="423" t="s">
        <v>455</v>
      </c>
      <c r="D3" s="424"/>
    </row>
    <row r="4" spans="1:10" ht="15" x14ac:dyDescent="0.25">
      <c r="B4" s="425" t="s">
        <v>456</v>
      </c>
      <c r="D4" s="424"/>
    </row>
    <row r="5" spans="1:10" x14ac:dyDescent="0.2">
      <c r="A5" s="426"/>
      <c r="D5" s="424"/>
    </row>
    <row r="6" spans="1:10" ht="15" x14ac:dyDescent="0.25">
      <c r="B6" s="706" t="s">
        <v>457</v>
      </c>
      <c r="C6" s="706"/>
      <c r="D6" s="706"/>
      <c r="E6" s="706"/>
    </row>
    <row r="7" spans="1:10" ht="15" x14ac:dyDescent="0.25">
      <c r="B7" s="427" t="s">
        <v>458</v>
      </c>
      <c r="C7" s="427" t="s">
        <v>11</v>
      </c>
      <c r="D7" s="428" t="s">
        <v>55</v>
      </c>
      <c r="E7" s="427" t="s">
        <v>56</v>
      </c>
    </row>
    <row r="8" spans="1:10" x14ac:dyDescent="0.2">
      <c r="B8" s="104" t="s">
        <v>459</v>
      </c>
      <c r="C8" s="104" t="s">
        <v>460</v>
      </c>
      <c r="D8" s="429">
        <v>17927128</v>
      </c>
      <c r="E8" s="430" t="s">
        <v>461</v>
      </c>
    </row>
    <row r="9" spans="1:10" x14ac:dyDescent="0.2">
      <c r="B9" s="104" t="s">
        <v>462</v>
      </c>
      <c r="C9" s="104" t="s">
        <v>463</v>
      </c>
      <c r="D9" s="429">
        <v>16197317</v>
      </c>
      <c r="E9" s="430" t="s">
        <v>461</v>
      </c>
    </row>
    <row r="10" spans="1:10" x14ac:dyDescent="0.2">
      <c r="B10" s="104" t="s">
        <v>464</v>
      </c>
      <c r="C10" s="104" t="s">
        <v>465</v>
      </c>
      <c r="D10" s="429">
        <v>14467506</v>
      </c>
      <c r="E10" s="430" t="s">
        <v>461</v>
      </c>
    </row>
    <row r="11" spans="1:10" x14ac:dyDescent="0.2">
      <c r="B11" s="104" t="s">
        <v>466</v>
      </c>
      <c r="C11" s="104" t="s">
        <v>467</v>
      </c>
      <c r="D11" s="429">
        <v>12894949</v>
      </c>
      <c r="E11" s="430" t="s">
        <v>461</v>
      </c>
    </row>
    <row r="12" spans="1:10" x14ac:dyDescent="0.2">
      <c r="B12" s="104" t="s">
        <v>468</v>
      </c>
      <c r="C12" s="104" t="s">
        <v>469</v>
      </c>
      <c r="D12" s="429">
        <v>11479652</v>
      </c>
      <c r="E12" s="430" t="s">
        <v>461</v>
      </c>
    </row>
    <row r="13" spans="1:10" ht="15" thickBot="1" x14ac:dyDescent="0.25">
      <c r="B13" s="104" t="s">
        <v>470</v>
      </c>
      <c r="C13" s="104" t="s">
        <v>471</v>
      </c>
      <c r="D13" s="429">
        <v>10850628</v>
      </c>
      <c r="E13" s="430" t="s">
        <v>461</v>
      </c>
      <c r="G13" s="431"/>
    </row>
    <row r="14" spans="1:10" x14ac:dyDescent="0.2">
      <c r="B14" s="104" t="s">
        <v>472</v>
      </c>
      <c r="C14" s="104" t="s">
        <v>473</v>
      </c>
      <c r="D14" s="429">
        <v>10378862</v>
      </c>
      <c r="E14" s="430" t="s">
        <v>461</v>
      </c>
      <c r="G14" s="432" t="s">
        <v>474</v>
      </c>
      <c r="H14" s="433"/>
      <c r="I14" s="433"/>
      <c r="J14" s="434"/>
    </row>
    <row r="15" spans="1:10" x14ac:dyDescent="0.2">
      <c r="B15" s="104" t="s">
        <v>475</v>
      </c>
      <c r="C15" s="104" t="s">
        <v>476</v>
      </c>
      <c r="D15" s="429">
        <v>9907096</v>
      </c>
      <c r="E15" s="430" t="s">
        <v>461</v>
      </c>
      <c r="G15" s="435"/>
      <c r="J15" s="436"/>
    </row>
    <row r="16" spans="1:10" x14ac:dyDescent="0.2">
      <c r="B16" s="104" t="s">
        <v>477</v>
      </c>
      <c r="C16" s="104" t="s">
        <v>478</v>
      </c>
      <c r="D16" s="429">
        <v>8963563</v>
      </c>
      <c r="E16" s="430" t="s">
        <v>461</v>
      </c>
      <c r="G16" s="437" t="s">
        <v>479</v>
      </c>
      <c r="H16" s="102" t="s">
        <v>480</v>
      </c>
      <c r="J16" s="436"/>
    </row>
    <row r="17" spans="2:10" x14ac:dyDescent="0.2">
      <c r="B17" s="104" t="s">
        <v>481</v>
      </c>
      <c r="C17" s="104" t="s">
        <v>482</v>
      </c>
      <c r="D17" s="429">
        <v>7862772</v>
      </c>
      <c r="E17" s="430" t="s">
        <v>461</v>
      </c>
      <c r="G17" s="437" t="s">
        <v>483</v>
      </c>
      <c r="H17" s="102" t="s">
        <v>484</v>
      </c>
      <c r="J17" s="436"/>
    </row>
    <row r="18" spans="2:10" x14ac:dyDescent="0.2">
      <c r="B18" s="104" t="s">
        <v>485</v>
      </c>
      <c r="C18" s="104" t="s">
        <v>486</v>
      </c>
      <c r="D18" s="429">
        <v>7233751</v>
      </c>
      <c r="E18" s="430" t="s">
        <v>461</v>
      </c>
      <c r="G18" s="437" t="s">
        <v>487</v>
      </c>
      <c r="H18" s="102" t="s">
        <v>488</v>
      </c>
      <c r="J18" s="436"/>
    </row>
    <row r="19" spans="2:10" x14ac:dyDescent="0.2">
      <c r="B19" s="104" t="s">
        <v>489</v>
      </c>
      <c r="C19" s="104" t="s">
        <v>490</v>
      </c>
      <c r="D19" s="429">
        <v>6604729</v>
      </c>
      <c r="E19" s="430" t="s">
        <v>461</v>
      </c>
      <c r="G19" s="437" t="s">
        <v>491</v>
      </c>
      <c r="H19" s="102" t="s">
        <v>492</v>
      </c>
      <c r="J19" s="436"/>
    </row>
    <row r="20" spans="2:10" x14ac:dyDescent="0.2">
      <c r="B20" s="104" t="s">
        <v>493</v>
      </c>
      <c r="C20" s="104" t="s">
        <v>494</v>
      </c>
      <c r="D20" s="429">
        <v>5661197</v>
      </c>
      <c r="E20" s="430" t="s">
        <v>461</v>
      </c>
      <c r="G20" s="437" t="s">
        <v>495</v>
      </c>
      <c r="H20" s="102" t="s">
        <v>496</v>
      </c>
      <c r="J20" s="436"/>
    </row>
    <row r="21" spans="2:10" x14ac:dyDescent="0.2">
      <c r="B21" s="104" t="s">
        <v>497</v>
      </c>
      <c r="C21" s="104" t="s">
        <v>498</v>
      </c>
      <c r="D21" s="429">
        <v>5032173</v>
      </c>
      <c r="E21" s="430" t="s">
        <v>461</v>
      </c>
      <c r="G21" s="437" t="s">
        <v>499</v>
      </c>
      <c r="H21" s="102" t="s">
        <v>500</v>
      </c>
      <c r="J21" s="436"/>
    </row>
    <row r="22" spans="2:10" x14ac:dyDescent="0.2">
      <c r="B22" s="104" t="s">
        <v>501</v>
      </c>
      <c r="C22" s="104" t="s">
        <v>502</v>
      </c>
      <c r="D22" s="429">
        <v>4560407</v>
      </c>
      <c r="E22" s="430" t="s">
        <v>461</v>
      </c>
      <c r="G22" s="437" t="s">
        <v>503</v>
      </c>
      <c r="H22" s="102" t="s">
        <v>504</v>
      </c>
      <c r="J22" s="436"/>
    </row>
    <row r="23" spans="2:10" ht="15" thickBot="1" x14ac:dyDescent="0.25">
      <c r="B23" s="104" t="s">
        <v>505</v>
      </c>
      <c r="C23" s="104" t="s">
        <v>506</v>
      </c>
      <c r="D23" s="429">
        <v>3931384</v>
      </c>
      <c r="E23" s="430" t="s">
        <v>461</v>
      </c>
      <c r="G23" s="438"/>
      <c r="H23" s="439"/>
      <c r="I23" s="439"/>
      <c r="J23" s="440"/>
    </row>
    <row r="24" spans="2:10" x14ac:dyDescent="0.2">
      <c r="B24" s="104" t="s">
        <v>507</v>
      </c>
      <c r="C24" s="104" t="s">
        <v>508</v>
      </c>
      <c r="D24" s="429">
        <v>3538246</v>
      </c>
      <c r="E24" s="430" t="s">
        <v>461</v>
      </c>
    </row>
    <row r="25" spans="2:10" x14ac:dyDescent="0.2">
      <c r="B25" s="104" t="s">
        <v>509</v>
      </c>
      <c r="C25" s="104" t="s">
        <v>510</v>
      </c>
      <c r="D25" s="429">
        <v>3145107</v>
      </c>
      <c r="E25" s="430" t="s">
        <v>461</v>
      </c>
    </row>
    <row r="26" spans="2:10" x14ac:dyDescent="0.2">
      <c r="B26" s="104" t="s">
        <v>511</v>
      </c>
      <c r="C26" s="104" t="s">
        <v>512</v>
      </c>
      <c r="D26" s="429">
        <v>2830596</v>
      </c>
      <c r="E26" s="430" t="s">
        <v>461</v>
      </c>
    </row>
    <row r="27" spans="2:10" x14ac:dyDescent="0.2">
      <c r="B27" s="104" t="s">
        <v>513</v>
      </c>
      <c r="C27" s="104" t="s">
        <v>514</v>
      </c>
      <c r="D27" s="429">
        <v>2516084</v>
      </c>
      <c r="E27" s="430" t="s">
        <v>461</v>
      </c>
    </row>
    <row r="28" spans="2:10" x14ac:dyDescent="0.2">
      <c r="B28" s="104" t="s">
        <v>515</v>
      </c>
      <c r="C28" s="104" t="s">
        <v>516</v>
      </c>
      <c r="D28" s="429">
        <v>2201574</v>
      </c>
      <c r="E28" s="430" t="s">
        <v>461</v>
      </c>
    </row>
    <row r="29" spans="2:10" x14ac:dyDescent="0.2">
      <c r="B29" s="104" t="s">
        <v>517</v>
      </c>
      <c r="C29" s="104" t="s">
        <v>518</v>
      </c>
      <c r="D29" s="429">
        <v>1887064</v>
      </c>
      <c r="E29" s="430" t="s">
        <v>461</v>
      </c>
    </row>
    <row r="30" spans="2:10" x14ac:dyDescent="0.2">
      <c r="B30" s="104" t="s">
        <v>519</v>
      </c>
      <c r="C30" s="104" t="s">
        <v>520</v>
      </c>
      <c r="D30" s="429">
        <v>1572552</v>
      </c>
      <c r="E30" s="430" t="s">
        <v>461</v>
      </c>
    </row>
    <row r="31" spans="2:10" x14ac:dyDescent="0.2">
      <c r="B31" s="104" t="s">
        <v>521</v>
      </c>
      <c r="C31" s="104" t="s">
        <v>522</v>
      </c>
      <c r="D31" s="429">
        <v>1258039</v>
      </c>
      <c r="E31" s="430" t="s">
        <v>461</v>
      </c>
    </row>
    <row r="32" spans="2:10" x14ac:dyDescent="0.2">
      <c r="B32" s="102" t="s">
        <v>523</v>
      </c>
      <c r="D32" s="424"/>
    </row>
    <row r="33" spans="2:5" ht="15" x14ac:dyDescent="0.25">
      <c r="B33" s="441" t="s">
        <v>524</v>
      </c>
      <c r="D33" s="424"/>
    </row>
    <row r="34" spans="2:5" x14ac:dyDescent="0.2">
      <c r="B34" s="102" t="s">
        <v>525</v>
      </c>
    </row>
    <row r="37" spans="2:5" ht="15" x14ac:dyDescent="0.25">
      <c r="B37" s="423" t="s">
        <v>526</v>
      </c>
    </row>
    <row r="38" spans="2:5" x14ac:dyDescent="0.2">
      <c r="D38" s="40"/>
    </row>
    <row r="39" spans="2:5" ht="15" x14ac:dyDescent="0.25">
      <c r="B39" s="425" t="s">
        <v>527</v>
      </c>
      <c r="D39" s="40"/>
    </row>
    <row r="40" spans="2:5" ht="15" x14ac:dyDescent="0.25">
      <c r="B40" s="442" t="s">
        <v>528</v>
      </c>
      <c r="C40" s="442"/>
      <c r="D40" s="442"/>
      <c r="E40" s="442"/>
    </row>
    <row r="41" spans="2:5" ht="15" x14ac:dyDescent="0.25">
      <c r="B41" s="427" t="s">
        <v>458</v>
      </c>
      <c r="C41" s="443" t="s">
        <v>11</v>
      </c>
      <c r="D41" s="444" t="s">
        <v>529</v>
      </c>
      <c r="E41" s="445" t="s">
        <v>55</v>
      </c>
    </row>
    <row r="42" spans="2:5" x14ac:dyDescent="0.2">
      <c r="B42" s="104" t="s">
        <v>459</v>
      </c>
      <c r="C42" s="104" t="s">
        <v>530</v>
      </c>
      <c r="D42" s="446">
        <v>17927128</v>
      </c>
      <c r="E42" s="447">
        <f>D81</f>
        <v>845463</v>
      </c>
    </row>
    <row r="43" spans="2:5" x14ac:dyDescent="0.2">
      <c r="B43" s="104" t="s">
        <v>462</v>
      </c>
      <c r="C43" s="104" t="s">
        <v>531</v>
      </c>
      <c r="D43" s="446">
        <v>16197317</v>
      </c>
      <c r="E43" s="447">
        <f>D81</f>
        <v>845463</v>
      </c>
    </row>
    <row r="44" spans="2:5" x14ac:dyDescent="0.2">
      <c r="B44" s="104" t="s">
        <v>464</v>
      </c>
      <c r="C44" s="104" t="s">
        <v>532</v>
      </c>
      <c r="D44" s="446">
        <v>14467506</v>
      </c>
      <c r="E44" s="447">
        <f>D80</f>
        <v>717923</v>
      </c>
    </row>
    <row r="45" spans="2:5" x14ac:dyDescent="0.2">
      <c r="B45" s="104" t="s">
        <v>466</v>
      </c>
      <c r="C45" s="104" t="s">
        <v>533</v>
      </c>
      <c r="D45" s="446">
        <v>12894949</v>
      </c>
      <c r="E45" s="447">
        <f>D80</f>
        <v>717923</v>
      </c>
    </row>
    <row r="46" spans="2:5" x14ac:dyDescent="0.2">
      <c r="B46" s="104" t="s">
        <v>468</v>
      </c>
      <c r="C46" s="104" t="s">
        <v>534</v>
      </c>
      <c r="D46" s="446">
        <v>11479652</v>
      </c>
      <c r="E46" s="447">
        <f>D79</f>
        <v>593522</v>
      </c>
    </row>
    <row r="47" spans="2:5" x14ac:dyDescent="0.2">
      <c r="B47" s="104" t="s">
        <v>470</v>
      </c>
      <c r="C47" s="104" t="s">
        <v>535</v>
      </c>
      <c r="D47" s="446">
        <v>10850628</v>
      </c>
      <c r="E47" s="447">
        <f>D79</f>
        <v>593522</v>
      </c>
    </row>
    <row r="48" spans="2:5" x14ac:dyDescent="0.2">
      <c r="B48" s="104" t="s">
        <v>472</v>
      </c>
      <c r="C48" s="104" t="s">
        <v>536</v>
      </c>
      <c r="D48" s="446">
        <v>10378862</v>
      </c>
      <c r="E48" s="447">
        <f>D79</f>
        <v>593522</v>
      </c>
    </row>
    <row r="49" spans="2:5" x14ac:dyDescent="0.2">
      <c r="B49" s="104" t="s">
        <v>475</v>
      </c>
      <c r="C49" s="104" t="s">
        <v>537</v>
      </c>
      <c r="D49" s="446">
        <v>9907096</v>
      </c>
      <c r="E49" s="447">
        <f>D79</f>
        <v>593522</v>
      </c>
    </row>
    <row r="50" spans="2:5" x14ac:dyDescent="0.2">
      <c r="B50" s="104" t="s">
        <v>477</v>
      </c>
      <c r="C50" s="104" t="s">
        <v>538</v>
      </c>
      <c r="D50" s="446">
        <v>8963563</v>
      </c>
      <c r="E50" s="447">
        <f>D78</f>
        <v>456561</v>
      </c>
    </row>
    <row r="51" spans="2:5" x14ac:dyDescent="0.2">
      <c r="B51" s="104" t="s">
        <v>481</v>
      </c>
      <c r="C51" s="104" t="s">
        <v>539</v>
      </c>
      <c r="D51" s="446">
        <v>7862772</v>
      </c>
      <c r="E51" s="447">
        <f>D78</f>
        <v>456561</v>
      </c>
    </row>
    <row r="52" spans="2:5" x14ac:dyDescent="0.2">
      <c r="B52" s="104" t="s">
        <v>485</v>
      </c>
      <c r="C52" s="104" t="s">
        <v>540</v>
      </c>
      <c r="D52" s="446">
        <v>7233751</v>
      </c>
      <c r="E52" s="447">
        <f>D78</f>
        <v>456561</v>
      </c>
    </row>
    <row r="53" spans="2:5" x14ac:dyDescent="0.2">
      <c r="B53" s="104" t="s">
        <v>489</v>
      </c>
      <c r="C53" s="104" t="s">
        <v>541</v>
      </c>
      <c r="D53" s="446">
        <v>6604729</v>
      </c>
      <c r="E53" s="447">
        <f>D77</f>
        <v>338443</v>
      </c>
    </row>
    <row r="54" spans="2:5" x14ac:dyDescent="0.2">
      <c r="B54" s="104" t="s">
        <v>493</v>
      </c>
      <c r="C54" s="104" t="s">
        <v>542</v>
      </c>
      <c r="D54" s="446">
        <v>5661197</v>
      </c>
      <c r="E54" s="447">
        <f>D76</f>
        <v>278634</v>
      </c>
    </row>
    <row r="55" spans="2:5" x14ac:dyDescent="0.2">
      <c r="B55" s="104" t="s">
        <v>497</v>
      </c>
      <c r="C55" s="104" t="s">
        <v>543</v>
      </c>
      <c r="D55" s="446">
        <v>5032173</v>
      </c>
      <c r="E55" s="447">
        <f>D76</f>
        <v>278634</v>
      </c>
    </row>
    <row r="56" spans="2:5" x14ac:dyDescent="0.2">
      <c r="B56" s="104" t="s">
        <v>501</v>
      </c>
      <c r="C56" s="104" t="s">
        <v>544</v>
      </c>
      <c r="D56" s="446">
        <v>4560407</v>
      </c>
      <c r="E56" s="447">
        <f>D76</f>
        <v>278634</v>
      </c>
    </row>
    <row r="57" spans="2:5" x14ac:dyDescent="0.2">
      <c r="B57" s="104" t="s">
        <v>505</v>
      </c>
      <c r="C57" s="104" t="s">
        <v>545</v>
      </c>
      <c r="D57" s="446">
        <v>3931384</v>
      </c>
      <c r="E57" s="447">
        <f>D75</f>
        <v>246864</v>
      </c>
    </row>
    <row r="58" spans="2:5" x14ac:dyDescent="0.2">
      <c r="B58" s="104" t="s">
        <v>507</v>
      </c>
      <c r="C58" s="104" t="s">
        <v>546</v>
      </c>
      <c r="D58" s="446">
        <v>3538246</v>
      </c>
      <c r="E58" s="447">
        <f>D75</f>
        <v>246864</v>
      </c>
    </row>
    <row r="59" spans="2:5" x14ac:dyDescent="0.2">
      <c r="B59" s="104" t="s">
        <v>509</v>
      </c>
      <c r="C59" s="104" t="s">
        <v>510</v>
      </c>
      <c r="D59" s="446">
        <v>3145107</v>
      </c>
      <c r="E59" s="447">
        <f>D74</f>
        <v>214980</v>
      </c>
    </row>
    <row r="60" spans="2:5" x14ac:dyDescent="0.2">
      <c r="B60" s="104" t="s">
        <v>511</v>
      </c>
      <c r="C60" s="104" t="s">
        <v>512</v>
      </c>
      <c r="D60" s="446">
        <v>2830596</v>
      </c>
      <c r="E60" s="447">
        <f>D74</f>
        <v>214980</v>
      </c>
    </row>
    <row r="61" spans="2:5" x14ac:dyDescent="0.2">
      <c r="B61" s="104" t="s">
        <v>513</v>
      </c>
      <c r="C61" s="104" t="s">
        <v>514</v>
      </c>
      <c r="D61" s="446">
        <v>2516084</v>
      </c>
      <c r="E61" s="447">
        <f>D73</f>
        <v>184753</v>
      </c>
    </row>
    <row r="62" spans="2:5" x14ac:dyDescent="0.2">
      <c r="B62" s="104" t="s">
        <v>515</v>
      </c>
      <c r="C62" s="104" t="s">
        <v>516</v>
      </c>
      <c r="D62" s="446">
        <v>2201574</v>
      </c>
      <c r="E62" s="447">
        <f>D73</f>
        <v>184753</v>
      </c>
    </row>
    <row r="63" spans="2:5" x14ac:dyDescent="0.2">
      <c r="B63" s="104" t="s">
        <v>517</v>
      </c>
      <c r="C63" s="104" t="s">
        <v>518</v>
      </c>
      <c r="D63" s="446">
        <v>1887064</v>
      </c>
      <c r="E63" s="447">
        <f>D72</f>
        <v>152268</v>
      </c>
    </row>
    <row r="64" spans="2:5" x14ac:dyDescent="0.2">
      <c r="B64" s="104" t="s">
        <v>519</v>
      </c>
      <c r="C64" s="104" t="s">
        <v>520</v>
      </c>
      <c r="D64" s="446">
        <v>1572552</v>
      </c>
      <c r="E64" s="447">
        <f>D72</f>
        <v>152268</v>
      </c>
    </row>
    <row r="65" spans="2:5" x14ac:dyDescent="0.2">
      <c r="B65" s="104" t="s">
        <v>521</v>
      </c>
      <c r="C65" s="104" t="s">
        <v>522</v>
      </c>
      <c r="D65" s="446">
        <v>1258039</v>
      </c>
      <c r="E65" s="447">
        <f>D72</f>
        <v>152268</v>
      </c>
    </row>
    <row r="66" spans="2:5" x14ac:dyDescent="0.2">
      <c r="B66" s="102" t="s">
        <v>547</v>
      </c>
      <c r="D66" s="448"/>
      <c r="E66" s="449"/>
    </row>
    <row r="68" spans="2:5" ht="15" x14ac:dyDescent="0.25">
      <c r="B68" s="425" t="s">
        <v>548</v>
      </c>
      <c r="D68" s="40"/>
    </row>
    <row r="69" spans="2:5" ht="14.25" customHeight="1" x14ac:dyDescent="0.2">
      <c r="B69" s="707" t="s">
        <v>549</v>
      </c>
      <c r="C69" s="708"/>
      <c r="D69" s="709"/>
    </row>
    <row r="70" spans="2:5" ht="27.95" customHeight="1" x14ac:dyDescent="0.2">
      <c r="B70" s="450" t="s">
        <v>550</v>
      </c>
      <c r="C70" s="451" t="s">
        <v>551</v>
      </c>
      <c r="D70" s="452" t="s">
        <v>552</v>
      </c>
    </row>
    <row r="71" spans="2:5" x14ac:dyDescent="0.2">
      <c r="B71" s="453" t="s">
        <v>553</v>
      </c>
      <c r="C71" s="710" t="s">
        <v>554</v>
      </c>
      <c r="D71" s="446">
        <v>111414</v>
      </c>
    </row>
    <row r="72" spans="2:5" x14ac:dyDescent="0.2">
      <c r="B72" s="453" t="s">
        <v>555</v>
      </c>
      <c r="C72" s="711"/>
      <c r="D72" s="446">
        <v>152268</v>
      </c>
    </row>
    <row r="73" spans="2:5" x14ac:dyDescent="0.2">
      <c r="B73" s="453" t="s">
        <v>556</v>
      </c>
      <c r="C73" s="711"/>
      <c r="D73" s="446">
        <v>184753</v>
      </c>
    </row>
    <row r="74" spans="2:5" x14ac:dyDescent="0.2">
      <c r="B74" s="453" t="s">
        <v>557</v>
      </c>
      <c r="C74" s="711"/>
      <c r="D74" s="446">
        <v>214980</v>
      </c>
    </row>
    <row r="75" spans="2:5" x14ac:dyDescent="0.2">
      <c r="B75" s="453" t="s">
        <v>558</v>
      </c>
      <c r="C75" s="711"/>
      <c r="D75" s="446">
        <v>246864</v>
      </c>
    </row>
    <row r="76" spans="2:5" x14ac:dyDescent="0.2">
      <c r="B76" s="453" t="s">
        <v>559</v>
      </c>
      <c r="C76" s="711"/>
      <c r="D76" s="446">
        <v>278634</v>
      </c>
    </row>
    <row r="77" spans="2:5" x14ac:dyDescent="0.2">
      <c r="B77" s="453" t="s">
        <v>560</v>
      </c>
      <c r="C77" s="711"/>
      <c r="D77" s="446">
        <v>338443</v>
      </c>
    </row>
    <row r="78" spans="2:5" x14ac:dyDescent="0.2">
      <c r="B78" s="453" t="s">
        <v>561</v>
      </c>
      <c r="C78" s="711"/>
      <c r="D78" s="446">
        <v>456561</v>
      </c>
    </row>
    <row r="79" spans="2:5" x14ac:dyDescent="0.2">
      <c r="B79" s="453" t="s">
        <v>562</v>
      </c>
      <c r="C79" s="711"/>
      <c r="D79" s="446">
        <v>593522</v>
      </c>
    </row>
    <row r="80" spans="2:5" x14ac:dyDescent="0.2">
      <c r="B80" s="453" t="s">
        <v>563</v>
      </c>
      <c r="C80" s="711"/>
      <c r="D80" s="446">
        <v>717923</v>
      </c>
    </row>
    <row r="81" spans="2:4" x14ac:dyDescent="0.2">
      <c r="B81" s="453" t="s">
        <v>564</v>
      </c>
      <c r="C81" s="712"/>
      <c r="D81" s="446">
        <v>845463</v>
      </c>
    </row>
    <row r="82" spans="2:4" ht="12.95" customHeight="1" x14ac:dyDescent="0.2">
      <c r="B82" s="102" t="s">
        <v>565</v>
      </c>
      <c r="D82" s="40"/>
    </row>
    <row r="83" spans="2:4" ht="12.95" customHeight="1" x14ac:dyDescent="0.2">
      <c r="B83" s="102" t="s">
        <v>566</v>
      </c>
      <c r="D83" s="40"/>
    </row>
    <row r="84" spans="2:4" ht="12.95" customHeight="1" x14ac:dyDescent="0.2">
      <c r="D84" s="40"/>
    </row>
    <row r="86" spans="2:4" ht="15" x14ac:dyDescent="0.25">
      <c r="B86" s="425" t="s">
        <v>567</v>
      </c>
      <c r="D86" s="40"/>
    </row>
    <row r="87" spans="2:4" x14ac:dyDescent="0.2">
      <c r="B87" s="105" t="s">
        <v>568</v>
      </c>
      <c r="C87" s="55">
        <v>320000</v>
      </c>
      <c r="D87" s="40"/>
    </row>
    <row r="88" spans="2:4" x14ac:dyDescent="0.2">
      <c r="B88" s="105" t="s">
        <v>569</v>
      </c>
      <c r="C88" s="55">
        <v>360000</v>
      </c>
      <c r="D88" s="40"/>
    </row>
    <row r="89" spans="2:4" x14ac:dyDescent="0.2">
      <c r="B89" s="105" t="s">
        <v>570</v>
      </c>
      <c r="C89" s="55">
        <v>360000</v>
      </c>
      <c r="D89" s="40"/>
    </row>
    <row r="90" spans="2:4" x14ac:dyDescent="0.2">
      <c r="B90" s="105" t="s">
        <v>571</v>
      </c>
      <c r="C90" s="55">
        <v>560000</v>
      </c>
      <c r="D90" s="40"/>
    </row>
    <row r="91" spans="2:4" ht="15" x14ac:dyDescent="0.25">
      <c r="B91" s="454" t="s">
        <v>572</v>
      </c>
      <c r="C91" s="454">
        <f>AVERAGE(C87:C90)</f>
        <v>400000</v>
      </c>
      <c r="D91" s="40"/>
    </row>
    <row r="92" spans="2:4" x14ac:dyDescent="0.2">
      <c r="B92" s="449" t="s">
        <v>573</v>
      </c>
      <c r="D92" s="40"/>
    </row>
    <row r="93" spans="2:4" x14ac:dyDescent="0.2">
      <c r="B93" s="449" t="s">
        <v>574</v>
      </c>
      <c r="C93" s="449"/>
      <c r="D93" s="40"/>
    </row>
    <row r="94" spans="2:4" x14ac:dyDescent="0.2">
      <c r="B94" s="455"/>
      <c r="D94" s="424"/>
    </row>
    <row r="95" spans="2:4" ht="15" x14ac:dyDescent="0.25">
      <c r="B95" s="713" t="s">
        <v>575</v>
      </c>
      <c r="C95" s="714"/>
      <c r="D95" s="456">
        <v>300000</v>
      </c>
    </row>
    <row r="97" spans="2:5" ht="15" x14ac:dyDescent="0.25">
      <c r="B97" s="425" t="s">
        <v>576</v>
      </c>
      <c r="C97" s="425" t="s">
        <v>577</v>
      </c>
      <c r="D97" s="457" t="s">
        <v>578</v>
      </c>
      <c r="E97" s="454">
        <v>9200</v>
      </c>
    </row>
    <row r="98" spans="2:5" x14ac:dyDescent="0.2">
      <c r="B98" s="105" t="s">
        <v>579</v>
      </c>
      <c r="C98" s="458" t="s">
        <v>580</v>
      </c>
      <c r="D98" s="459"/>
    </row>
    <row r="99" spans="2:5" x14ac:dyDescent="0.2">
      <c r="B99" s="105" t="s">
        <v>581</v>
      </c>
      <c r="C99" s="105" t="s">
        <v>582</v>
      </c>
      <c r="D99" s="459">
        <f>(2000/35)*E97</f>
        <v>525714.2857142858</v>
      </c>
    </row>
    <row r="100" spans="2:5" x14ac:dyDescent="0.2">
      <c r="B100" s="105" t="s">
        <v>583</v>
      </c>
      <c r="C100" s="105" t="s">
        <v>584</v>
      </c>
      <c r="D100" s="459">
        <f>(4000/35)*E97</f>
        <v>1051428.5714285716</v>
      </c>
    </row>
    <row r="101" spans="2:5" ht="15" x14ac:dyDescent="0.25">
      <c r="B101" s="105"/>
      <c r="C101" s="105"/>
      <c r="D101" s="460">
        <f>AVERAGE(D99:D100)</f>
        <v>788571.42857142864</v>
      </c>
    </row>
    <row r="102" spans="2:5" ht="15" x14ac:dyDescent="0.25">
      <c r="B102" s="461" t="s">
        <v>585</v>
      </c>
      <c r="C102" s="461" t="s">
        <v>586</v>
      </c>
      <c r="D102" s="462">
        <f>800000</f>
        <v>800000</v>
      </c>
    </row>
    <row r="103" spans="2:5" s="103" customFormat="1" x14ac:dyDescent="0.2">
      <c r="B103" s="103" t="s">
        <v>587</v>
      </c>
    </row>
    <row r="104" spans="2:5" s="103" customFormat="1" x14ac:dyDescent="0.2"/>
    <row r="105" spans="2:5" s="103" customFormat="1" x14ac:dyDescent="0.2">
      <c r="B105" s="102"/>
      <c r="C105" s="102"/>
      <c r="D105" s="102"/>
      <c r="E105" s="102"/>
    </row>
    <row r="106" spans="2:5" ht="15" x14ac:dyDescent="0.25">
      <c r="B106" s="425" t="s">
        <v>588</v>
      </c>
      <c r="C106" s="462">
        <f>24000*20</f>
        <v>480000</v>
      </c>
    </row>
    <row r="107" spans="2:5" ht="15" x14ac:dyDescent="0.25">
      <c r="B107" s="463" t="s">
        <v>589</v>
      </c>
      <c r="C107" s="464">
        <f>500000</f>
        <v>500000</v>
      </c>
    </row>
    <row r="108" spans="2:5" x14ac:dyDescent="0.2">
      <c r="B108" s="691" t="s">
        <v>590</v>
      </c>
      <c r="C108" s="685"/>
    </row>
    <row r="109" spans="2:5" x14ac:dyDescent="0.2">
      <c r="B109" s="691" t="s">
        <v>591</v>
      </c>
      <c r="C109" s="685"/>
    </row>
    <row r="110" spans="2:5" x14ac:dyDescent="0.2">
      <c r="B110" s="42"/>
      <c r="C110" s="42"/>
    </row>
    <row r="111" spans="2:5" ht="15" x14ac:dyDescent="0.25">
      <c r="B111" s="425" t="s">
        <v>592</v>
      </c>
      <c r="C111" s="42"/>
    </row>
    <row r="112" spans="2:5" x14ac:dyDescent="0.2">
      <c r="B112" s="105" t="s">
        <v>593</v>
      </c>
      <c r="C112" s="43">
        <f>C107</f>
        <v>500000</v>
      </c>
    </row>
    <row r="113" spans="2:4" x14ac:dyDescent="0.2">
      <c r="B113" s="105" t="s">
        <v>576</v>
      </c>
      <c r="C113" s="43">
        <f>D102</f>
        <v>800000</v>
      </c>
    </row>
    <row r="114" spans="2:4" ht="15" x14ac:dyDescent="0.25">
      <c r="B114" s="425" t="s">
        <v>57</v>
      </c>
      <c r="C114" s="462">
        <f>C112+C113</f>
        <v>1300000</v>
      </c>
    </row>
    <row r="116" spans="2:4" ht="15" x14ac:dyDescent="0.25">
      <c r="B116" s="425" t="s">
        <v>594</v>
      </c>
      <c r="C116" s="457" t="s">
        <v>55</v>
      </c>
    </row>
    <row r="117" spans="2:4" x14ac:dyDescent="0.2">
      <c r="B117" s="104" t="s">
        <v>595</v>
      </c>
      <c r="C117" s="43">
        <v>35000</v>
      </c>
    </row>
    <row r="118" spans="2:4" x14ac:dyDescent="0.2">
      <c r="B118" s="104" t="s">
        <v>596</v>
      </c>
      <c r="C118" s="43">
        <v>120000</v>
      </c>
    </row>
    <row r="119" spans="2:4" ht="15" x14ac:dyDescent="0.25">
      <c r="B119" s="457" t="s">
        <v>33</v>
      </c>
      <c r="C119" s="456">
        <f>C118+C117</f>
        <v>155000</v>
      </c>
    </row>
    <row r="120" spans="2:4" x14ac:dyDescent="0.2">
      <c r="B120" s="104" t="s">
        <v>597</v>
      </c>
      <c r="C120" s="43">
        <v>190000</v>
      </c>
    </row>
    <row r="121" spans="2:4" x14ac:dyDescent="0.2">
      <c r="B121" s="104" t="s">
        <v>598</v>
      </c>
      <c r="C121" s="43">
        <v>40000</v>
      </c>
    </row>
    <row r="122" spans="2:4" x14ac:dyDescent="0.2">
      <c r="B122" s="104" t="s">
        <v>599</v>
      </c>
      <c r="C122" s="43"/>
    </row>
    <row r="123" spans="2:4" ht="15" x14ac:dyDescent="0.25">
      <c r="B123" s="457" t="s">
        <v>33</v>
      </c>
      <c r="C123" s="456">
        <f>C119+C120+C121</f>
        <v>385000</v>
      </c>
    </row>
    <row r="124" spans="2:4" x14ac:dyDescent="0.2">
      <c r="B124" s="691" t="s">
        <v>600</v>
      </c>
      <c r="C124" s="685"/>
    </row>
    <row r="126" spans="2:4" ht="15" x14ac:dyDescent="0.25">
      <c r="B126" s="425" t="s">
        <v>601</v>
      </c>
      <c r="D126" s="40"/>
    </row>
    <row r="127" spans="2:4" x14ac:dyDescent="0.2">
      <c r="B127" s="102" t="s">
        <v>572</v>
      </c>
      <c r="D127" s="40"/>
    </row>
    <row r="128" spans="2:4" x14ac:dyDescent="0.2">
      <c r="D128" s="40"/>
    </row>
    <row r="129" spans="1:4" ht="15" x14ac:dyDescent="0.25">
      <c r="B129" s="465" t="s">
        <v>602</v>
      </c>
      <c r="C129" s="465" t="s">
        <v>603</v>
      </c>
      <c r="D129" s="424"/>
    </row>
    <row r="130" spans="1:4" x14ac:dyDescent="0.2">
      <c r="B130" s="447" t="s">
        <v>604</v>
      </c>
      <c r="C130" s="43">
        <v>2000000</v>
      </c>
      <c r="D130" s="424"/>
    </row>
    <row r="131" spans="1:4" ht="13.5" customHeight="1" x14ac:dyDescent="0.2">
      <c r="B131" s="447" t="s">
        <v>605</v>
      </c>
      <c r="C131" s="43">
        <v>1300000</v>
      </c>
      <c r="D131" s="424"/>
    </row>
    <row r="132" spans="1:4" x14ac:dyDescent="0.2">
      <c r="B132" s="447" t="s">
        <v>606</v>
      </c>
      <c r="C132" s="43">
        <v>3500000</v>
      </c>
      <c r="D132" s="424"/>
    </row>
    <row r="133" spans="1:4" x14ac:dyDescent="0.2">
      <c r="B133" s="447" t="s">
        <v>607</v>
      </c>
      <c r="C133" s="43">
        <v>1800000</v>
      </c>
      <c r="D133" s="424"/>
    </row>
    <row r="134" spans="1:4" ht="12.75" customHeight="1" x14ac:dyDescent="0.2">
      <c r="B134" s="691" t="s">
        <v>608</v>
      </c>
      <c r="C134" s="685"/>
      <c r="D134" s="424"/>
    </row>
    <row r="135" spans="1:4" x14ac:dyDescent="0.2">
      <c r="B135" s="449" t="s">
        <v>609</v>
      </c>
      <c r="C135" s="466"/>
      <c r="D135" s="424"/>
    </row>
    <row r="137" spans="1:4" ht="15" x14ac:dyDescent="0.25">
      <c r="B137" s="467" t="s">
        <v>610</v>
      </c>
      <c r="C137" s="467">
        <v>7</v>
      </c>
    </row>
    <row r="138" spans="1:4" ht="15" x14ac:dyDescent="0.25">
      <c r="B138" s="467" t="s">
        <v>611</v>
      </c>
      <c r="C138" s="467">
        <v>19</v>
      </c>
    </row>
    <row r="139" spans="1:4" ht="15" x14ac:dyDescent="0.25">
      <c r="B139" s="468" t="s">
        <v>612</v>
      </c>
      <c r="C139" s="468">
        <v>4</v>
      </c>
    </row>
    <row r="140" spans="1:4" x14ac:dyDescent="0.2">
      <c r="A140" s="449"/>
      <c r="B140" s="102" t="s">
        <v>613</v>
      </c>
    </row>
    <row r="143" spans="1:4" ht="15" x14ac:dyDescent="0.25">
      <c r="B143" s="467" t="s">
        <v>614</v>
      </c>
    </row>
    <row r="144" spans="1:4" x14ac:dyDescent="0.2">
      <c r="A144" s="104">
        <v>1</v>
      </c>
      <c r="B144" s="469" t="s">
        <v>615</v>
      </c>
    </row>
    <row r="145" spans="1:3" x14ac:dyDescent="0.2">
      <c r="A145" s="104">
        <v>2</v>
      </c>
      <c r="B145" s="469" t="s">
        <v>616</v>
      </c>
    </row>
    <row r="146" spans="1:3" x14ac:dyDescent="0.2">
      <c r="A146" s="104">
        <v>3</v>
      </c>
      <c r="B146" s="469" t="s">
        <v>617</v>
      </c>
    </row>
    <row r="147" spans="1:3" x14ac:dyDescent="0.2">
      <c r="A147" s="104">
        <v>4</v>
      </c>
      <c r="B147" s="469" t="s">
        <v>618</v>
      </c>
    </row>
    <row r="148" spans="1:3" x14ac:dyDescent="0.2">
      <c r="A148" s="104">
        <v>5</v>
      </c>
      <c r="B148" s="469" t="s">
        <v>619</v>
      </c>
    </row>
    <row r="149" spans="1:3" x14ac:dyDescent="0.2">
      <c r="A149" s="104">
        <v>6</v>
      </c>
      <c r="B149" s="469" t="s">
        <v>620</v>
      </c>
    </row>
    <row r="150" spans="1:3" x14ac:dyDescent="0.2">
      <c r="A150" s="104">
        <v>7</v>
      </c>
      <c r="B150" s="469" t="s">
        <v>621</v>
      </c>
    </row>
    <row r="154" spans="1:3" ht="15" x14ac:dyDescent="0.25">
      <c r="B154" s="467" t="s">
        <v>622</v>
      </c>
      <c r="C154" s="467" t="s">
        <v>623</v>
      </c>
    </row>
    <row r="155" spans="1:3" x14ac:dyDescent="0.2">
      <c r="A155" s="104">
        <v>1</v>
      </c>
      <c r="B155" s="470" t="s">
        <v>624</v>
      </c>
      <c r="C155" s="471">
        <v>1</v>
      </c>
    </row>
    <row r="156" spans="1:3" x14ac:dyDescent="0.2">
      <c r="A156" s="104">
        <v>2</v>
      </c>
      <c r="B156" s="470" t="s">
        <v>625</v>
      </c>
      <c r="C156" s="471">
        <v>1</v>
      </c>
    </row>
    <row r="157" spans="1:3" ht="15" customHeight="1" x14ac:dyDescent="0.2">
      <c r="A157" s="104">
        <v>3</v>
      </c>
      <c r="B157" s="470" t="s">
        <v>626</v>
      </c>
      <c r="C157" s="471">
        <v>0.99</v>
      </c>
    </row>
    <row r="158" spans="1:3" x14ac:dyDescent="0.2">
      <c r="A158" s="104">
        <v>4</v>
      </c>
      <c r="B158" s="470" t="s">
        <v>627</v>
      </c>
      <c r="C158" s="471">
        <v>0.95</v>
      </c>
    </row>
    <row r="159" spans="1:3" x14ac:dyDescent="0.2">
      <c r="A159" s="104">
        <v>5</v>
      </c>
      <c r="B159" s="470" t="s">
        <v>628</v>
      </c>
      <c r="C159" s="471">
        <v>0.93</v>
      </c>
    </row>
    <row r="160" spans="1:3" x14ac:dyDescent="0.2">
      <c r="A160" s="104">
        <v>6</v>
      </c>
      <c r="B160" s="470" t="s">
        <v>629</v>
      </c>
      <c r="C160" s="471">
        <v>0.86</v>
      </c>
    </row>
    <row r="161" spans="1:3" x14ac:dyDescent="0.2">
      <c r="A161" s="104">
        <v>7</v>
      </c>
      <c r="B161" s="470" t="s">
        <v>630</v>
      </c>
      <c r="C161" s="471">
        <v>0.49</v>
      </c>
    </row>
    <row r="162" spans="1:3" x14ac:dyDescent="0.2">
      <c r="A162" s="104">
        <v>8</v>
      </c>
      <c r="B162" s="470" t="s">
        <v>631</v>
      </c>
      <c r="C162" s="471">
        <v>0.49</v>
      </c>
    </row>
    <row r="163" spans="1:3" x14ac:dyDescent="0.2">
      <c r="A163" s="104">
        <v>9</v>
      </c>
      <c r="B163" s="470" t="s">
        <v>632</v>
      </c>
      <c r="C163" s="471">
        <v>0.44</v>
      </c>
    </row>
    <row r="164" spans="1:3" x14ac:dyDescent="0.2">
      <c r="A164" s="104">
        <v>10</v>
      </c>
      <c r="B164" s="470" t="s">
        <v>633</v>
      </c>
      <c r="C164" s="471">
        <v>0.31</v>
      </c>
    </row>
    <row r="165" spans="1:3" x14ac:dyDescent="0.2">
      <c r="A165" s="104">
        <v>11</v>
      </c>
      <c r="B165" s="472" t="s">
        <v>634</v>
      </c>
      <c r="C165" s="473">
        <v>0.18</v>
      </c>
    </row>
    <row r="166" spans="1:3" x14ac:dyDescent="0.2">
      <c r="A166" s="104">
        <v>12</v>
      </c>
      <c r="B166" s="472" t="s">
        <v>635</v>
      </c>
      <c r="C166" s="473">
        <v>0.18</v>
      </c>
    </row>
    <row r="167" spans="1:3" x14ac:dyDescent="0.2">
      <c r="A167" s="104">
        <v>13</v>
      </c>
      <c r="B167" s="472" t="s">
        <v>636</v>
      </c>
      <c r="C167" s="473">
        <v>0.15</v>
      </c>
    </row>
    <row r="168" spans="1:3" x14ac:dyDescent="0.2">
      <c r="A168" s="104">
        <v>14</v>
      </c>
      <c r="B168" s="472" t="s">
        <v>637</v>
      </c>
      <c r="C168" s="473">
        <v>0.14000000000000001</v>
      </c>
    </row>
    <row r="169" spans="1:3" x14ac:dyDescent="0.2">
      <c r="A169" s="104">
        <v>15</v>
      </c>
      <c r="B169" s="472" t="s">
        <v>638</v>
      </c>
      <c r="C169" s="473">
        <v>0.12</v>
      </c>
    </row>
    <row r="170" spans="1:3" x14ac:dyDescent="0.2">
      <c r="A170" s="104">
        <v>16</v>
      </c>
      <c r="B170" s="472" t="s">
        <v>639</v>
      </c>
      <c r="C170" s="473">
        <v>7.0000000000000007E-2</v>
      </c>
    </row>
    <row r="171" spans="1:3" x14ac:dyDescent="0.2">
      <c r="A171" s="104">
        <v>17</v>
      </c>
      <c r="B171" s="472" t="s">
        <v>640</v>
      </c>
      <c r="C171" s="473">
        <v>0.01</v>
      </c>
    </row>
    <row r="172" spans="1:3" x14ac:dyDescent="0.2">
      <c r="A172" s="104">
        <v>18</v>
      </c>
      <c r="B172" s="472" t="s">
        <v>641</v>
      </c>
      <c r="C172" s="473">
        <v>0</v>
      </c>
    </row>
    <row r="173" spans="1:3" x14ac:dyDescent="0.2">
      <c r="A173" s="104">
        <v>19</v>
      </c>
      <c r="B173" s="102" t="s">
        <v>642</v>
      </c>
      <c r="C173" s="102" t="s">
        <v>643</v>
      </c>
    </row>
    <row r="174" spans="1:3" ht="15" x14ac:dyDescent="0.25">
      <c r="B174" s="467" t="s">
        <v>644</v>
      </c>
      <c r="C174" s="467">
        <f>+A164</f>
        <v>10</v>
      </c>
    </row>
    <row r="175" spans="1:3" x14ac:dyDescent="0.2">
      <c r="B175" s="102" t="s">
        <v>645</v>
      </c>
    </row>
    <row r="177" spans="1:4" ht="15" x14ac:dyDescent="0.25">
      <c r="B177" s="467" t="s">
        <v>646</v>
      </c>
    </row>
    <row r="178" spans="1:4" ht="15" x14ac:dyDescent="0.25">
      <c r="B178" s="467" t="s">
        <v>647</v>
      </c>
      <c r="C178" s="467" t="s">
        <v>648</v>
      </c>
      <c r="D178" s="467" t="s">
        <v>649</v>
      </c>
    </row>
    <row r="179" spans="1:4" x14ac:dyDescent="0.2">
      <c r="A179" s="104">
        <v>1</v>
      </c>
      <c r="B179" s="474" t="s">
        <v>624</v>
      </c>
      <c r="C179" s="475">
        <v>77815</v>
      </c>
      <c r="D179" s="692" t="s">
        <v>650</v>
      </c>
    </row>
    <row r="180" spans="1:4" x14ac:dyDescent="0.2">
      <c r="A180" s="104">
        <v>2</v>
      </c>
      <c r="B180" s="474" t="s">
        <v>625</v>
      </c>
      <c r="C180" s="475">
        <v>14344</v>
      </c>
      <c r="D180" s="693"/>
    </row>
    <row r="181" spans="1:4" x14ac:dyDescent="0.2">
      <c r="A181" s="104">
        <v>3</v>
      </c>
      <c r="B181" s="474" t="s">
        <v>631</v>
      </c>
      <c r="C181" s="475">
        <v>57587</v>
      </c>
      <c r="D181" s="694"/>
    </row>
    <row r="182" spans="1:4" x14ac:dyDescent="0.2">
      <c r="A182" s="104">
        <v>4</v>
      </c>
      <c r="B182" s="474" t="s">
        <v>626</v>
      </c>
      <c r="C182" s="475">
        <v>20675</v>
      </c>
      <c r="D182" s="695" t="s">
        <v>651</v>
      </c>
    </row>
    <row r="183" spans="1:4" x14ac:dyDescent="0.2">
      <c r="A183" s="104">
        <v>5</v>
      </c>
      <c r="B183" s="474" t="s">
        <v>632</v>
      </c>
      <c r="C183" s="475">
        <v>39113</v>
      </c>
      <c r="D183" s="696"/>
    </row>
    <row r="184" spans="1:4" x14ac:dyDescent="0.2">
      <c r="A184" s="104">
        <v>6</v>
      </c>
      <c r="B184" s="474" t="s">
        <v>627</v>
      </c>
      <c r="C184" s="475">
        <v>277455</v>
      </c>
      <c r="D184" s="697"/>
    </row>
    <row r="185" spans="1:4" x14ac:dyDescent="0.2">
      <c r="A185" s="104">
        <v>7</v>
      </c>
      <c r="B185" s="474" t="s">
        <v>633</v>
      </c>
      <c r="C185" s="475">
        <v>98649</v>
      </c>
      <c r="D185" s="698" t="s">
        <v>652</v>
      </c>
    </row>
    <row r="186" spans="1:4" x14ac:dyDescent="0.2">
      <c r="A186" s="104">
        <v>8</v>
      </c>
      <c r="B186" s="474" t="s">
        <v>630</v>
      </c>
      <c r="C186" s="475">
        <v>239032</v>
      </c>
      <c r="D186" s="699"/>
    </row>
    <row r="187" spans="1:4" x14ac:dyDescent="0.2">
      <c r="A187" s="104">
        <v>9</v>
      </c>
      <c r="B187" s="474" t="s">
        <v>628</v>
      </c>
      <c r="C187" s="475">
        <v>152479</v>
      </c>
      <c r="D187" s="700" t="s">
        <v>653</v>
      </c>
    </row>
    <row r="188" spans="1:4" x14ac:dyDescent="0.2">
      <c r="A188" s="104">
        <v>10</v>
      </c>
      <c r="B188" s="474" t="s">
        <v>629</v>
      </c>
      <c r="C188" s="475">
        <v>117860</v>
      </c>
      <c r="D188" s="700"/>
    </row>
    <row r="189" spans="1:4" ht="15" x14ac:dyDescent="0.25">
      <c r="B189" s="467" t="s">
        <v>654</v>
      </c>
      <c r="D189" s="467">
        <v>4</v>
      </c>
    </row>
    <row r="190" spans="1:4" s="103" customFormat="1" ht="15" x14ac:dyDescent="0.25">
      <c r="B190" s="50" t="s">
        <v>655</v>
      </c>
      <c r="D190" s="50"/>
    </row>
    <row r="192" spans="1:4" ht="15" x14ac:dyDescent="0.25">
      <c r="B192" s="467" t="s">
        <v>656</v>
      </c>
    </row>
    <row r="193" spans="1:3" x14ac:dyDescent="0.2">
      <c r="A193" s="476">
        <v>1</v>
      </c>
      <c r="B193" s="476" t="s">
        <v>657</v>
      </c>
      <c r="C193" s="476" t="s">
        <v>643</v>
      </c>
    </row>
    <row r="194" spans="1:3" x14ac:dyDescent="0.2">
      <c r="A194" s="476">
        <v>2</v>
      </c>
      <c r="B194" s="476" t="s">
        <v>641</v>
      </c>
      <c r="C194" s="477">
        <v>1</v>
      </c>
    </row>
    <row r="195" spans="1:3" ht="15" customHeight="1" x14ac:dyDescent="0.2">
      <c r="A195" s="476">
        <v>3</v>
      </c>
      <c r="B195" s="476" t="s">
        <v>640</v>
      </c>
      <c r="C195" s="477">
        <v>0.99</v>
      </c>
    </row>
    <row r="196" spans="1:3" x14ac:dyDescent="0.2">
      <c r="A196" s="476">
        <v>4</v>
      </c>
      <c r="B196" s="476" t="s">
        <v>639</v>
      </c>
      <c r="C196" s="477">
        <v>0.91</v>
      </c>
    </row>
    <row r="197" spans="1:3" x14ac:dyDescent="0.2">
      <c r="A197" s="476">
        <v>5</v>
      </c>
      <c r="B197" s="476" t="s">
        <v>638</v>
      </c>
      <c r="C197" s="477">
        <v>0.88</v>
      </c>
    </row>
    <row r="198" spans="1:3" x14ac:dyDescent="0.2">
      <c r="A198" s="476">
        <v>6</v>
      </c>
      <c r="B198" s="476" t="s">
        <v>637</v>
      </c>
      <c r="C198" s="477">
        <v>0.86</v>
      </c>
    </row>
    <row r="199" spans="1:3" x14ac:dyDescent="0.2">
      <c r="A199" s="476">
        <v>7</v>
      </c>
      <c r="B199" s="476" t="s">
        <v>636</v>
      </c>
      <c r="C199" s="477">
        <v>0.85</v>
      </c>
    </row>
    <row r="200" spans="1:3" x14ac:dyDescent="0.2">
      <c r="A200" s="476">
        <v>8</v>
      </c>
      <c r="B200" s="476" t="s">
        <v>635</v>
      </c>
      <c r="C200" s="477">
        <v>0.82</v>
      </c>
    </row>
    <row r="201" spans="1:3" x14ac:dyDescent="0.2">
      <c r="A201" s="476">
        <v>9</v>
      </c>
      <c r="B201" s="476" t="s">
        <v>634</v>
      </c>
      <c r="C201" s="477">
        <v>0.85</v>
      </c>
    </row>
    <row r="202" spans="1:3" x14ac:dyDescent="0.2">
      <c r="A202" s="476">
        <v>10</v>
      </c>
      <c r="B202" s="476" t="s">
        <v>633</v>
      </c>
      <c r="C202" s="477">
        <v>0.69</v>
      </c>
    </row>
    <row r="203" spans="1:3" x14ac:dyDescent="0.2">
      <c r="A203" s="476">
        <v>11</v>
      </c>
      <c r="B203" s="476" t="s">
        <v>632</v>
      </c>
      <c r="C203" s="477">
        <v>0.56000000000000005</v>
      </c>
    </row>
    <row r="204" spans="1:3" x14ac:dyDescent="0.2">
      <c r="A204" s="476">
        <v>12</v>
      </c>
      <c r="B204" s="476" t="s">
        <v>631</v>
      </c>
      <c r="C204" s="477">
        <v>0.51</v>
      </c>
    </row>
    <row r="205" spans="1:3" x14ac:dyDescent="0.2">
      <c r="A205" s="476">
        <v>13</v>
      </c>
      <c r="B205" s="476" t="s">
        <v>630</v>
      </c>
      <c r="C205" s="477">
        <v>0.51</v>
      </c>
    </row>
    <row r="206" spans="1:3" x14ac:dyDescent="0.2">
      <c r="A206" s="476">
        <v>14</v>
      </c>
      <c r="B206" s="476" t="s">
        <v>629</v>
      </c>
      <c r="C206" s="477">
        <v>0.14000000000000001</v>
      </c>
    </row>
    <row r="207" spans="1:3" x14ac:dyDescent="0.2">
      <c r="A207" s="476">
        <v>15</v>
      </c>
      <c r="B207" s="476" t="s">
        <v>628</v>
      </c>
      <c r="C207" s="477">
        <v>7.0000000000000007E-2</v>
      </c>
    </row>
    <row r="208" spans="1:3" x14ac:dyDescent="0.2">
      <c r="A208" s="104">
        <v>16</v>
      </c>
      <c r="B208" s="49" t="s">
        <v>627</v>
      </c>
      <c r="C208" s="478">
        <v>0.05</v>
      </c>
    </row>
    <row r="209" spans="1:6" x14ac:dyDescent="0.2">
      <c r="A209" s="104">
        <v>17</v>
      </c>
      <c r="B209" s="49" t="s">
        <v>626</v>
      </c>
      <c r="C209" s="478">
        <v>0.01</v>
      </c>
    </row>
    <row r="210" spans="1:6" x14ac:dyDescent="0.2">
      <c r="A210" s="104">
        <v>18</v>
      </c>
      <c r="B210" s="49" t="s">
        <v>625</v>
      </c>
      <c r="C210" s="478"/>
    </row>
    <row r="211" spans="1:6" x14ac:dyDescent="0.2">
      <c r="A211" s="104">
        <v>19</v>
      </c>
      <c r="B211" s="49" t="s">
        <v>624</v>
      </c>
      <c r="C211" s="478"/>
    </row>
    <row r="212" spans="1:6" ht="15" x14ac:dyDescent="0.25">
      <c r="B212" s="467" t="s">
        <v>658</v>
      </c>
      <c r="C212" s="467">
        <f>A207</f>
        <v>15</v>
      </c>
    </row>
    <row r="213" spans="1:6" x14ac:dyDescent="0.2">
      <c r="B213" s="102" t="s">
        <v>645</v>
      </c>
    </row>
    <row r="215" spans="1:6" ht="15" x14ac:dyDescent="0.25">
      <c r="B215" s="479" t="s">
        <v>659</v>
      </c>
      <c r="D215" s="424"/>
      <c r="F215" s="431"/>
    </row>
    <row r="216" spans="1:6" x14ac:dyDescent="0.2">
      <c r="B216" s="105" t="s">
        <v>660</v>
      </c>
      <c r="C216" s="480">
        <f>C229</f>
        <v>500000</v>
      </c>
      <c r="E216" s="44"/>
      <c r="F216" s="431"/>
    </row>
    <row r="217" spans="1:6" x14ac:dyDescent="0.2">
      <c r="B217" s="104" t="str">
        <f>B232</f>
        <v>b. Talleres y/ o eventos de divulgación nacionales y/o regionales (Productor, transformador, comercialización)</v>
      </c>
      <c r="C217" s="45">
        <f>C238</f>
        <v>2300000</v>
      </c>
      <c r="E217" s="44"/>
      <c r="F217" s="431"/>
    </row>
    <row r="218" spans="1:6" x14ac:dyDescent="0.2">
      <c r="B218" s="105" t="str">
        <f>B247</f>
        <v>c. Escuelas, dias de campo, giras técnicas,  y/ o visitas,  (Productor, transformador, comercialización)</v>
      </c>
      <c r="C218" s="480">
        <f>C254</f>
        <v>3270000</v>
      </c>
      <c r="E218" s="44"/>
      <c r="F218" s="431"/>
    </row>
    <row r="219" spans="1:6" x14ac:dyDescent="0.2">
      <c r="B219" s="105" t="str">
        <f>B258</f>
        <v xml:space="preserve">d. Parcelas demostrativas o lotes modelos </v>
      </c>
      <c r="C219" s="480">
        <f>C264</f>
        <v>5170000</v>
      </c>
      <c r="E219" s="44"/>
      <c r="F219" s="431"/>
    </row>
    <row r="220" spans="1:6" x14ac:dyDescent="0.2">
      <c r="B220" s="105" t="s">
        <v>661</v>
      </c>
      <c r="C220" s="480">
        <f>C216*20%</f>
        <v>100000</v>
      </c>
      <c r="E220" s="44"/>
      <c r="F220" s="431"/>
    </row>
    <row r="221" spans="1:6" x14ac:dyDescent="0.2">
      <c r="B221" s="105" t="s">
        <v>662</v>
      </c>
      <c r="C221" s="480">
        <f>C217*20%</f>
        <v>460000</v>
      </c>
      <c r="E221" s="44"/>
      <c r="F221" s="431"/>
    </row>
    <row r="222" spans="1:6" hidden="1" x14ac:dyDescent="0.2">
      <c r="B222" s="104" t="s">
        <v>663</v>
      </c>
      <c r="C222" s="481" t="e">
        <f>#REF!*10%</f>
        <v>#REF!</v>
      </c>
      <c r="E222" s="44"/>
      <c r="F222" s="431"/>
    </row>
    <row r="223" spans="1:6" x14ac:dyDescent="0.2">
      <c r="B223" s="102" t="s">
        <v>664</v>
      </c>
      <c r="E223" s="44"/>
      <c r="F223" s="431"/>
    </row>
    <row r="224" spans="1:6" x14ac:dyDescent="0.2">
      <c r="E224" s="44"/>
      <c r="F224" s="431"/>
    </row>
    <row r="226" spans="2:3" ht="27" customHeight="1" x14ac:dyDescent="0.25">
      <c r="B226" s="467" t="s">
        <v>660</v>
      </c>
      <c r="C226" s="40" t="s">
        <v>665</v>
      </c>
    </row>
    <row r="227" spans="2:3" x14ac:dyDescent="0.2">
      <c r="B227" s="104" t="s">
        <v>666</v>
      </c>
      <c r="C227" s="481">
        <f>15000*20</f>
        <v>300000</v>
      </c>
    </row>
    <row r="228" spans="2:3" x14ac:dyDescent="0.2">
      <c r="B228" s="104" t="s">
        <v>667</v>
      </c>
      <c r="C228" s="481">
        <v>200000</v>
      </c>
    </row>
    <row r="229" spans="2:3" ht="15" x14ac:dyDescent="0.25">
      <c r="B229" s="482" t="s">
        <v>668</v>
      </c>
      <c r="C229" s="483">
        <f>C227+C228</f>
        <v>500000</v>
      </c>
    </row>
    <row r="232" spans="2:3" ht="39" customHeight="1" x14ac:dyDescent="0.25">
      <c r="B232" s="484" t="s">
        <v>669</v>
      </c>
      <c r="C232" s="467" t="s">
        <v>670</v>
      </c>
    </row>
    <row r="233" spans="2:3" x14ac:dyDescent="0.2">
      <c r="B233" s="104" t="s">
        <v>671</v>
      </c>
      <c r="C233" s="481">
        <v>500000</v>
      </c>
    </row>
    <row r="234" spans="2:3" x14ac:dyDescent="0.2">
      <c r="B234" s="104" t="s">
        <v>666</v>
      </c>
      <c r="C234" s="481">
        <f>15000*40</f>
        <v>600000</v>
      </c>
    </row>
    <row r="235" spans="2:3" x14ac:dyDescent="0.2">
      <c r="B235" s="315" t="s">
        <v>672</v>
      </c>
      <c r="C235" s="481">
        <f>2500*40</f>
        <v>100000</v>
      </c>
    </row>
    <row r="236" spans="2:3" x14ac:dyDescent="0.2">
      <c r="B236" s="104" t="s">
        <v>673</v>
      </c>
      <c r="C236" s="481">
        <f>25000*40</f>
        <v>1000000</v>
      </c>
    </row>
    <row r="237" spans="2:3" x14ac:dyDescent="0.2">
      <c r="B237" s="104" t="s">
        <v>674</v>
      </c>
      <c r="C237" s="481">
        <v>100000</v>
      </c>
    </row>
    <row r="238" spans="2:3" ht="15" x14ac:dyDescent="0.25">
      <c r="B238" s="467" t="s">
        <v>675</v>
      </c>
      <c r="C238" s="483">
        <f>SUM(C233:C237)</f>
        <v>2300000</v>
      </c>
    </row>
    <row r="239" spans="2:3" x14ac:dyDescent="0.2">
      <c r="B239" s="104" t="s">
        <v>676</v>
      </c>
      <c r="C239" s="481"/>
    </row>
    <row r="241" spans="2:3" ht="15" hidden="1" x14ac:dyDescent="0.25">
      <c r="B241" s="467" t="s">
        <v>677</v>
      </c>
      <c r="C241" s="40" t="s">
        <v>665</v>
      </c>
    </row>
    <row r="242" spans="2:3" hidden="1" x14ac:dyDescent="0.2">
      <c r="B242" s="104" t="s">
        <v>666</v>
      </c>
      <c r="C242" s="481">
        <v>500000</v>
      </c>
    </row>
    <row r="243" spans="2:3" hidden="1" x14ac:dyDescent="0.2">
      <c r="B243" s="315" t="s">
        <v>671</v>
      </c>
      <c r="C243" s="481">
        <v>500000</v>
      </c>
    </row>
    <row r="244" spans="2:3" ht="15" hidden="1" x14ac:dyDescent="0.25">
      <c r="B244" s="482" t="s">
        <v>668</v>
      </c>
      <c r="C244" s="483">
        <f>SUM(C242:C243)</f>
        <v>1000000</v>
      </c>
    </row>
    <row r="245" spans="2:3" hidden="1" x14ac:dyDescent="0.2">
      <c r="B245" s="104" t="s">
        <v>678</v>
      </c>
    </row>
    <row r="247" spans="2:3" ht="30" x14ac:dyDescent="0.25">
      <c r="B247" s="484" t="s">
        <v>679</v>
      </c>
      <c r="C247" s="467" t="s">
        <v>680</v>
      </c>
    </row>
    <row r="248" spans="2:3" x14ac:dyDescent="0.2">
      <c r="B248" s="481" t="s">
        <v>681</v>
      </c>
      <c r="C248" s="481">
        <f>20000*20</f>
        <v>400000</v>
      </c>
    </row>
    <row r="249" spans="2:3" x14ac:dyDescent="0.2">
      <c r="B249" s="481" t="s">
        <v>682</v>
      </c>
      <c r="C249" s="481">
        <f>25000*20</f>
        <v>500000</v>
      </c>
    </row>
    <row r="250" spans="2:3" x14ac:dyDescent="0.2">
      <c r="B250" s="104" t="s">
        <v>683</v>
      </c>
      <c r="C250" s="481">
        <f>25000*20</f>
        <v>500000</v>
      </c>
    </row>
    <row r="251" spans="2:3" x14ac:dyDescent="0.2">
      <c r="B251" s="104" t="s">
        <v>684</v>
      </c>
      <c r="C251" s="481">
        <f>C123*2</f>
        <v>770000</v>
      </c>
    </row>
    <row r="252" spans="2:3" x14ac:dyDescent="0.2">
      <c r="B252" s="104" t="s">
        <v>685</v>
      </c>
      <c r="C252" s="481">
        <v>100000</v>
      </c>
    </row>
    <row r="253" spans="2:3" x14ac:dyDescent="0.2">
      <c r="B253" s="104" t="s">
        <v>686</v>
      </c>
      <c r="C253" s="481">
        <f>50000*20</f>
        <v>1000000</v>
      </c>
    </row>
    <row r="254" spans="2:3" ht="15" x14ac:dyDescent="0.25">
      <c r="B254" s="467" t="s">
        <v>33</v>
      </c>
      <c r="C254" s="483">
        <f>SUM(C248:C253)</f>
        <v>3270000</v>
      </c>
    </row>
    <row r="255" spans="2:3" x14ac:dyDescent="0.2">
      <c r="B255" s="102" t="s">
        <v>687</v>
      </c>
    </row>
    <row r="256" spans="2:3" x14ac:dyDescent="0.2">
      <c r="B256" s="102" t="s">
        <v>688</v>
      </c>
    </row>
    <row r="258" spans="2:4" ht="15" x14ac:dyDescent="0.25">
      <c r="B258" s="467" t="s">
        <v>689</v>
      </c>
      <c r="C258" s="467" t="s">
        <v>690</v>
      </c>
    </row>
    <row r="259" spans="2:4" x14ac:dyDescent="0.2">
      <c r="B259" s="481" t="s">
        <v>691</v>
      </c>
      <c r="C259" s="481">
        <f>(900000*1.5)</f>
        <v>1350000</v>
      </c>
      <c r="D259" s="53"/>
    </row>
    <row r="260" spans="2:4" x14ac:dyDescent="0.2">
      <c r="B260" s="104" t="s">
        <v>692</v>
      </c>
      <c r="C260" s="54">
        <f>150000*20</f>
        <v>3000000</v>
      </c>
    </row>
    <row r="261" spans="2:4" x14ac:dyDescent="0.2">
      <c r="B261" s="104" t="s">
        <v>693</v>
      </c>
      <c r="C261" s="54">
        <f>80000*4</f>
        <v>320000</v>
      </c>
    </row>
    <row r="262" spans="2:4" x14ac:dyDescent="0.2">
      <c r="B262" s="481" t="s">
        <v>694</v>
      </c>
      <c r="C262" s="54">
        <f>40000*5</f>
        <v>200000</v>
      </c>
    </row>
    <row r="263" spans="2:4" x14ac:dyDescent="0.2">
      <c r="B263" s="104" t="s">
        <v>695</v>
      </c>
      <c r="C263" s="481">
        <f>2*150000</f>
        <v>300000</v>
      </c>
    </row>
    <row r="264" spans="2:4" ht="15" x14ac:dyDescent="0.25">
      <c r="B264" s="467" t="s">
        <v>33</v>
      </c>
      <c r="C264" s="483">
        <f>SUM(C259:C263)</f>
        <v>5170000</v>
      </c>
    </row>
    <row r="266" spans="2:4" ht="15" hidden="1" x14ac:dyDescent="0.25">
      <c r="B266" s="688" t="s">
        <v>696</v>
      </c>
      <c r="C266" s="689"/>
    </row>
    <row r="267" spans="2:4" hidden="1" x14ac:dyDescent="0.2">
      <c r="B267" s="485" t="s">
        <v>697</v>
      </c>
      <c r="C267" s="486">
        <f>50000*25</f>
        <v>1250000</v>
      </c>
    </row>
    <row r="268" spans="2:4" hidden="1" x14ac:dyDescent="0.2">
      <c r="B268" s="486" t="s">
        <v>666</v>
      </c>
      <c r="C268" s="486">
        <f>15000*25</f>
        <v>375000</v>
      </c>
    </row>
    <row r="269" spans="2:4" hidden="1" x14ac:dyDescent="0.2">
      <c r="B269" s="47" t="s">
        <v>682</v>
      </c>
      <c r="C269" s="486">
        <f>25000*25</f>
        <v>625000</v>
      </c>
    </row>
    <row r="270" spans="2:4" hidden="1" x14ac:dyDescent="0.2">
      <c r="B270" s="481" t="s">
        <v>698</v>
      </c>
      <c r="C270" s="486">
        <v>600000</v>
      </c>
    </row>
    <row r="271" spans="2:4" hidden="1" x14ac:dyDescent="0.2">
      <c r="B271" s="486" t="s">
        <v>699</v>
      </c>
      <c r="C271" s="486">
        <f>30*40000</f>
        <v>1200000</v>
      </c>
    </row>
    <row r="272" spans="2:4" hidden="1" x14ac:dyDescent="0.2">
      <c r="B272" s="104" t="s">
        <v>700</v>
      </c>
      <c r="C272" s="481">
        <v>250000</v>
      </c>
    </row>
    <row r="273" spans="1:6" hidden="1" x14ac:dyDescent="0.2">
      <c r="B273" s="104" t="s">
        <v>701</v>
      </c>
      <c r="C273" s="481">
        <v>300000</v>
      </c>
    </row>
    <row r="274" spans="1:6" ht="15" hidden="1" x14ac:dyDescent="0.25">
      <c r="B274" s="487" t="s">
        <v>668</v>
      </c>
      <c r="C274" s="487">
        <f>SUM(C267:C273)</f>
        <v>4600000</v>
      </c>
    </row>
    <row r="275" spans="1:6" hidden="1" x14ac:dyDescent="0.2"/>
    <row r="277" spans="1:6" ht="15" x14ac:dyDescent="0.25">
      <c r="B277" s="488" t="s">
        <v>702</v>
      </c>
      <c r="D277" s="40"/>
      <c r="F277" s="431"/>
    </row>
    <row r="278" spans="1:6" ht="15" x14ac:dyDescent="0.25">
      <c r="B278" s="489" t="s">
        <v>703</v>
      </c>
      <c r="C278" s="490" t="s">
        <v>704</v>
      </c>
      <c r="D278" s="490" t="s">
        <v>705</v>
      </c>
      <c r="F278" s="431"/>
    </row>
    <row r="279" spans="1:6" x14ac:dyDescent="0.2">
      <c r="B279" s="430">
        <v>2021</v>
      </c>
      <c r="C279" s="104">
        <v>3743.09</v>
      </c>
      <c r="D279" s="104">
        <v>4419.5600000000004</v>
      </c>
    </row>
    <row r="280" spans="1:6" x14ac:dyDescent="0.2">
      <c r="B280" s="430">
        <v>2020</v>
      </c>
      <c r="C280" s="104">
        <v>3693.36</v>
      </c>
      <c r="D280" s="104">
        <v>4214.03</v>
      </c>
    </row>
    <row r="281" spans="1:6" ht="15" x14ac:dyDescent="0.25">
      <c r="B281" s="491" t="s">
        <v>706</v>
      </c>
      <c r="C281" s="492">
        <f>AVERAGE(C279:C280)</f>
        <v>3718.2250000000004</v>
      </c>
      <c r="D281" s="492">
        <f>AVERAGE(D279:D280)</f>
        <v>4316.7950000000001</v>
      </c>
    </row>
    <row r="282" spans="1:6" ht="15" x14ac:dyDescent="0.25">
      <c r="B282" s="701" t="s">
        <v>707</v>
      </c>
      <c r="C282" s="702"/>
      <c r="D282" s="702"/>
    </row>
    <row r="284" spans="1:6" ht="15" x14ac:dyDescent="0.25">
      <c r="B284" s="488" t="s">
        <v>708</v>
      </c>
      <c r="C284" s="493"/>
      <c r="D284" s="493"/>
    </row>
    <row r="285" spans="1:6" ht="15" x14ac:dyDescent="0.2">
      <c r="A285" s="40"/>
      <c r="B285" s="494" t="s">
        <v>709</v>
      </c>
      <c r="C285" s="495" t="s">
        <v>55</v>
      </c>
      <c r="D285" s="424"/>
    </row>
    <row r="286" spans="1:6" x14ac:dyDescent="0.2">
      <c r="A286" s="40"/>
      <c r="B286" s="104" t="s">
        <v>710</v>
      </c>
      <c r="C286" s="496">
        <f>C307</f>
        <v>9200000</v>
      </c>
      <c r="D286" s="424"/>
    </row>
    <row r="287" spans="1:6" ht="15" customHeight="1" x14ac:dyDescent="0.2">
      <c r="A287" s="40"/>
      <c r="B287" s="104" t="s">
        <v>711</v>
      </c>
      <c r="C287" s="496">
        <f>C315</f>
        <v>150000</v>
      </c>
      <c r="D287" s="424"/>
    </row>
    <row r="288" spans="1:6" x14ac:dyDescent="0.2">
      <c r="A288" s="40"/>
      <c r="B288" s="104" t="s">
        <v>712</v>
      </c>
      <c r="C288" s="496">
        <f>C319</f>
        <v>15000000</v>
      </c>
      <c r="D288" s="424"/>
    </row>
    <row r="289" spans="1:8" x14ac:dyDescent="0.2">
      <c r="A289" s="40"/>
      <c r="B289" s="104" t="s">
        <v>713</v>
      </c>
      <c r="C289" s="496">
        <f>C320</f>
        <v>8000000</v>
      </c>
      <c r="D289" s="424"/>
    </row>
    <row r="290" spans="1:8" ht="14.25" customHeight="1" x14ac:dyDescent="0.2">
      <c r="A290" s="40"/>
      <c r="B290" s="49" t="s">
        <v>714</v>
      </c>
      <c r="C290" s="497">
        <v>20000000</v>
      </c>
      <c r="D290" s="424"/>
    </row>
    <row r="291" spans="1:8" x14ac:dyDescent="0.2">
      <c r="A291" s="40"/>
      <c r="B291" s="49" t="s">
        <v>715</v>
      </c>
      <c r="C291" s="497">
        <f>C325</f>
        <v>4000000</v>
      </c>
      <c r="D291" s="424"/>
    </row>
    <row r="292" spans="1:8" x14ac:dyDescent="0.2">
      <c r="A292" s="40"/>
      <c r="B292" s="49" t="s">
        <v>716</v>
      </c>
      <c r="C292" s="498">
        <f>C329</f>
        <v>1000000</v>
      </c>
      <c r="D292" s="424"/>
    </row>
    <row r="293" spans="1:8" x14ac:dyDescent="0.2">
      <c r="A293" s="40"/>
      <c r="B293" s="49" t="s">
        <v>717</v>
      </c>
      <c r="C293" s="429">
        <f>E339</f>
        <v>217000000</v>
      </c>
      <c r="D293" s="424"/>
    </row>
    <row r="294" spans="1:8" x14ac:dyDescent="0.2">
      <c r="A294" s="40"/>
      <c r="B294" s="49" t="s">
        <v>718</v>
      </c>
      <c r="C294" s="496">
        <f>E349</f>
        <v>125500000</v>
      </c>
      <c r="D294" s="424"/>
    </row>
    <row r="295" spans="1:8" x14ac:dyDescent="0.2">
      <c r="A295" s="40"/>
      <c r="B295" s="104" t="s">
        <v>719</v>
      </c>
      <c r="C295" s="496">
        <f>E361</f>
        <v>142800000</v>
      </c>
      <c r="D295" s="424"/>
    </row>
    <row r="296" spans="1:8" x14ac:dyDescent="0.2">
      <c r="A296" s="40"/>
      <c r="B296" s="49" t="s">
        <v>720</v>
      </c>
      <c r="C296" s="499">
        <f>C377</f>
        <v>3500000</v>
      </c>
      <c r="D296" s="424"/>
    </row>
    <row r="297" spans="1:8" x14ac:dyDescent="0.2">
      <c r="A297" s="40"/>
      <c r="B297" s="49" t="s">
        <v>721</v>
      </c>
      <c r="C297" s="496">
        <f>C378</f>
        <v>1500000</v>
      </c>
      <c r="D297" s="424"/>
    </row>
    <row r="298" spans="1:8" x14ac:dyDescent="0.2">
      <c r="A298" s="40"/>
      <c r="B298" s="104" t="str">
        <f>B382</f>
        <v>m. Plan de Medios radial Nacional</v>
      </c>
      <c r="C298" s="496">
        <f>E386</f>
        <v>83600000</v>
      </c>
      <c r="D298" s="424"/>
    </row>
    <row r="299" spans="1:8" ht="12.95" customHeight="1" x14ac:dyDescent="0.2">
      <c r="A299" s="40"/>
      <c r="B299" s="104" t="str">
        <f>B388</f>
        <v>n. Plan de Medios radial regional</v>
      </c>
      <c r="C299" s="496">
        <f>E392</f>
        <v>14500000</v>
      </c>
      <c r="D299" s="424"/>
    </row>
    <row r="300" spans="1:8" x14ac:dyDescent="0.2">
      <c r="D300" s="424"/>
    </row>
    <row r="301" spans="1:8" x14ac:dyDescent="0.2">
      <c r="D301" s="424"/>
      <c r="E301" s="42"/>
      <c r="F301" s="42"/>
      <c r="G301" s="42"/>
      <c r="H301" s="42"/>
    </row>
    <row r="302" spans="1:8" ht="15" x14ac:dyDescent="0.25">
      <c r="B302" s="500" t="s">
        <v>722</v>
      </c>
      <c r="C302" s="501"/>
      <c r="D302" s="424"/>
      <c r="E302" s="424"/>
      <c r="F302" s="424"/>
      <c r="G302" s="424"/>
      <c r="H302" s="424"/>
    </row>
    <row r="303" spans="1:8" ht="15" x14ac:dyDescent="0.25">
      <c r="B303" s="502"/>
      <c r="C303" s="502" t="s">
        <v>55</v>
      </c>
      <c r="D303" s="424"/>
      <c r="E303" s="424"/>
      <c r="F303" s="424"/>
      <c r="G303" s="424"/>
      <c r="H303" s="424"/>
    </row>
    <row r="304" spans="1:8" x14ac:dyDescent="0.2">
      <c r="B304" s="104" t="s">
        <v>723</v>
      </c>
      <c r="C304" s="481">
        <v>5900000</v>
      </c>
      <c r="D304" s="424"/>
      <c r="E304" s="424"/>
      <c r="F304" s="424"/>
      <c r="G304" s="424"/>
      <c r="H304" s="424"/>
    </row>
    <row r="305" spans="2:8" x14ac:dyDescent="0.2">
      <c r="B305" s="104" t="s">
        <v>724</v>
      </c>
      <c r="C305" s="481">
        <v>15400000</v>
      </c>
      <c r="D305" s="424"/>
      <c r="E305" s="424"/>
      <c r="F305" s="424"/>
      <c r="G305" s="424"/>
      <c r="H305" s="424"/>
    </row>
    <row r="306" spans="2:8" x14ac:dyDescent="0.2">
      <c r="B306" s="104" t="s">
        <v>725</v>
      </c>
      <c r="C306" s="481">
        <v>6300000</v>
      </c>
      <c r="D306" s="424"/>
      <c r="E306" s="424"/>
      <c r="F306" s="424"/>
      <c r="G306" s="424"/>
      <c r="H306" s="424"/>
    </row>
    <row r="307" spans="2:8" ht="15" x14ac:dyDescent="0.25">
      <c r="B307" s="423" t="s">
        <v>58</v>
      </c>
      <c r="C307" s="503">
        <f>AVERAGE(C304:C306)</f>
        <v>9200000</v>
      </c>
      <c r="D307" s="424"/>
      <c r="E307" s="424"/>
      <c r="F307" s="424"/>
      <c r="G307" s="424"/>
      <c r="H307" s="424"/>
    </row>
    <row r="308" spans="2:8" x14ac:dyDescent="0.2">
      <c r="B308" s="102" t="s">
        <v>726</v>
      </c>
      <c r="C308" s="431"/>
      <c r="H308" s="42"/>
    </row>
    <row r="309" spans="2:8" x14ac:dyDescent="0.2">
      <c r="D309" s="424"/>
      <c r="E309" s="42"/>
      <c r="F309" s="42"/>
      <c r="G309" s="42"/>
      <c r="H309" s="42"/>
    </row>
    <row r="310" spans="2:8" x14ac:dyDescent="0.2">
      <c r="C310" s="431"/>
      <c r="F310" s="42"/>
      <c r="G310" s="42"/>
      <c r="H310" s="42"/>
    </row>
    <row r="311" spans="2:8" ht="15" x14ac:dyDescent="0.25">
      <c r="B311" s="703" t="s">
        <v>727</v>
      </c>
      <c r="C311" s="703"/>
      <c r="D311" s="424"/>
      <c r="E311" s="424"/>
      <c r="F311" s="424"/>
      <c r="G311" s="42"/>
      <c r="H311" s="42"/>
    </row>
    <row r="312" spans="2:8" ht="15" x14ac:dyDescent="0.25">
      <c r="B312" s="504" t="s">
        <v>728</v>
      </c>
      <c r="C312" s="504" t="s">
        <v>55</v>
      </c>
      <c r="D312" s="424"/>
      <c r="E312" s="424"/>
      <c r="F312" s="424"/>
    </row>
    <row r="313" spans="2:8" x14ac:dyDescent="0.2">
      <c r="B313" s="49" t="s">
        <v>729</v>
      </c>
      <c r="C313" s="499">
        <v>130000</v>
      </c>
      <c r="D313" s="424"/>
      <c r="E313" s="424"/>
      <c r="F313" s="424"/>
    </row>
    <row r="314" spans="2:8" x14ac:dyDescent="0.2">
      <c r="B314" s="104" t="s">
        <v>730</v>
      </c>
      <c r="C314" s="496">
        <v>170000</v>
      </c>
      <c r="D314" s="424"/>
      <c r="E314" s="424"/>
      <c r="F314" s="424"/>
    </row>
    <row r="315" spans="2:8" ht="15" x14ac:dyDescent="0.25">
      <c r="B315" s="423" t="s">
        <v>731</v>
      </c>
      <c r="C315" s="505">
        <f>AVERAGE(C313:C314)</f>
        <v>150000</v>
      </c>
      <c r="D315" s="424"/>
      <c r="E315" s="424"/>
      <c r="F315" s="424"/>
    </row>
    <row r="316" spans="2:8" x14ac:dyDescent="0.2">
      <c r="B316" s="102" t="s">
        <v>726</v>
      </c>
    </row>
    <row r="317" spans="2:8" x14ac:dyDescent="0.2">
      <c r="B317" s="42"/>
      <c r="C317" s="42"/>
      <c r="D317" s="42"/>
      <c r="E317" s="42"/>
    </row>
    <row r="318" spans="2:8" ht="15" x14ac:dyDescent="0.25">
      <c r="B318" s="506" t="s">
        <v>732</v>
      </c>
      <c r="C318" s="506" t="s">
        <v>55</v>
      </c>
      <c r="D318" s="42"/>
      <c r="E318" s="42"/>
    </row>
    <row r="319" spans="2:8" x14ac:dyDescent="0.2">
      <c r="B319" s="104" t="s">
        <v>733</v>
      </c>
      <c r="C319" s="507">
        <v>15000000</v>
      </c>
      <c r="D319" s="42"/>
      <c r="E319" s="42"/>
    </row>
    <row r="320" spans="2:8" x14ac:dyDescent="0.2">
      <c r="B320" s="104" t="s">
        <v>734</v>
      </c>
      <c r="C320" s="507">
        <v>8000000</v>
      </c>
      <c r="D320" s="42"/>
      <c r="E320" s="42"/>
    </row>
    <row r="321" spans="2:5" x14ac:dyDescent="0.2">
      <c r="B321" s="704" t="s">
        <v>735</v>
      </c>
      <c r="C321" s="704"/>
      <c r="D321" s="42"/>
      <c r="E321" s="42"/>
    </row>
    <row r="322" spans="2:5" x14ac:dyDescent="0.2">
      <c r="B322" s="508"/>
      <c r="C322" s="508"/>
      <c r="D322" s="42"/>
      <c r="E322" s="42"/>
    </row>
    <row r="323" spans="2:5" ht="15" x14ac:dyDescent="0.25">
      <c r="B323" s="506" t="s">
        <v>736</v>
      </c>
      <c r="C323" s="506" t="s">
        <v>55</v>
      </c>
      <c r="D323" s="42"/>
      <c r="E323" s="42"/>
    </row>
    <row r="324" spans="2:5" x14ac:dyDescent="0.2">
      <c r="B324" s="49" t="s">
        <v>714</v>
      </c>
      <c r="C324" s="509">
        <v>10000000</v>
      </c>
      <c r="D324" s="42"/>
      <c r="E324" s="42"/>
    </row>
    <row r="325" spans="2:5" x14ac:dyDescent="0.2">
      <c r="B325" s="49" t="s">
        <v>715</v>
      </c>
      <c r="C325" s="509">
        <v>4000000</v>
      </c>
      <c r="D325" s="42"/>
      <c r="E325" s="42"/>
    </row>
    <row r="326" spans="2:5" x14ac:dyDescent="0.2">
      <c r="B326" s="690" t="s">
        <v>737</v>
      </c>
      <c r="C326" s="690"/>
      <c r="D326" s="42"/>
      <c r="E326" s="42"/>
    </row>
    <row r="327" spans="2:5" x14ac:dyDescent="0.2">
      <c r="B327" s="510"/>
      <c r="C327" s="510"/>
      <c r="D327" s="42"/>
      <c r="E327" s="42"/>
    </row>
    <row r="328" spans="2:5" ht="15" x14ac:dyDescent="0.25">
      <c r="B328" s="506" t="s">
        <v>738</v>
      </c>
      <c r="C328" s="506" t="s">
        <v>55</v>
      </c>
      <c r="D328" s="42"/>
      <c r="E328" s="42"/>
    </row>
    <row r="329" spans="2:5" x14ac:dyDescent="0.2">
      <c r="B329" s="49" t="s">
        <v>716</v>
      </c>
      <c r="C329" s="509">
        <v>1000000</v>
      </c>
      <c r="D329" s="42"/>
      <c r="E329" s="42"/>
    </row>
    <row r="330" spans="2:5" x14ac:dyDescent="0.2">
      <c r="B330" s="508" t="s">
        <v>739</v>
      </c>
      <c r="C330" s="508"/>
      <c r="D330" s="42"/>
      <c r="E330" s="42"/>
    </row>
    <row r="331" spans="2:5" x14ac:dyDescent="0.2">
      <c r="B331" s="508"/>
      <c r="C331" s="508"/>
      <c r="D331" s="42"/>
      <c r="E331" s="42"/>
    </row>
    <row r="332" spans="2:5" ht="15" x14ac:dyDescent="0.25">
      <c r="B332" s="467" t="s">
        <v>740</v>
      </c>
      <c r="C332" s="511" t="s">
        <v>59</v>
      </c>
      <c r="D332" s="511" t="s">
        <v>55</v>
      </c>
      <c r="E332" s="511" t="s">
        <v>33</v>
      </c>
    </row>
    <row r="333" spans="2:5" x14ac:dyDescent="0.2">
      <c r="B333" s="481" t="s">
        <v>741</v>
      </c>
      <c r="C333" s="481">
        <v>4</v>
      </c>
      <c r="D333" s="481">
        <f>5000000</f>
        <v>5000000</v>
      </c>
      <c r="E333" s="481">
        <f t="shared" ref="E333:E338" si="0">C333*D333</f>
        <v>20000000</v>
      </c>
    </row>
    <row r="334" spans="2:5" x14ac:dyDescent="0.2">
      <c r="B334" s="481" t="s">
        <v>742</v>
      </c>
      <c r="C334" s="481">
        <v>2000</v>
      </c>
      <c r="D334" s="481">
        <v>500</v>
      </c>
      <c r="E334" s="481">
        <f t="shared" si="0"/>
        <v>1000000</v>
      </c>
    </row>
    <row r="335" spans="2:5" x14ac:dyDescent="0.2">
      <c r="B335" s="481" t="s">
        <v>743</v>
      </c>
      <c r="C335" s="481">
        <v>5</v>
      </c>
      <c r="D335" s="481">
        <f>C286</f>
        <v>9200000</v>
      </c>
      <c r="E335" s="481">
        <f t="shared" si="0"/>
        <v>46000000</v>
      </c>
    </row>
    <row r="336" spans="2:5" x14ac:dyDescent="0.2">
      <c r="B336" s="481" t="s">
        <v>744</v>
      </c>
      <c r="C336" s="481">
        <v>2</v>
      </c>
      <c r="D336" s="481">
        <f>C290</f>
        <v>20000000</v>
      </c>
      <c r="E336" s="481">
        <f t="shared" si="0"/>
        <v>40000000</v>
      </c>
    </row>
    <row r="337" spans="2:5" x14ac:dyDescent="0.2">
      <c r="B337" s="481" t="s">
        <v>60</v>
      </c>
      <c r="C337" s="481">
        <v>1</v>
      </c>
      <c r="D337" s="481">
        <v>50000000</v>
      </c>
      <c r="E337" s="481">
        <f t="shared" si="0"/>
        <v>50000000</v>
      </c>
    </row>
    <row r="338" spans="2:5" x14ac:dyDescent="0.2">
      <c r="B338" s="104" t="s">
        <v>732</v>
      </c>
      <c r="C338" s="481">
        <v>4</v>
      </c>
      <c r="D338" s="481">
        <f>C288</f>
        <v>15000000</v>
      </c>
      <c r="E338" s="481">
        <f t="shared" si="0"/>
        <v>60000000</v>
      </c>
    </row>
    <row r="339" spans="2:5" ht="15" x14ac:dyDescent="0.25">
      <c r="B339" s="512" t="s">
        <v>745</v>
      </c>
      <c r="C339" s="512"/>
      <c r="D339" s="512"/>
      <c r="E339" s="513">
        <f>SUM(E333:E338)</f>
        <v>217000000</v>
      </c>
    </row>
    <row r="340" spans="2:5" s="103" customFormat="1" ht="15" x14ac:dyDescent="0.25">
      <c r="B340" s="50" t="s">
        <v>746</v>
      </c>
      <c r="C340" s="50"/>
      <c r="D340" s="50"/>
      <c r="E340" s="514" t="s">
        <v>747</v>
      </c>
    </row>
    <row r="341" spans="2:5" x14ac:dyDescent="0.2">
      <c r="B341" s="508"/>
      <c r="C341" s="508"/>
      <c r="D341" s="42"/>
      <c r="E341" s="42"/>
    </row>
    <row r="342" spans="2:5" ht="15" x14ac:dyDescent="0.25">
      <c r="B342" s="467" t="s">
        <v>748</v>
      </c>
      <c r="C342" s="511" t="s">
        <v>59</v>
      </c>
      <c r="D342" s="511" t="s">
        <v>55</v>
      </c>
      <c r="E342" s="511" t="s">
        <v>33</v>
      </c>
    </row>
    <row r="343" spans="2:5" x14ac:dyDescent="0.2">
      <c r="B343" s="481" t="s">
        <v>741</v>
      </c>
      <c r="C343" s="481">
        <v>2</v>
      </c>
      <c r="D343" s="481">
        <v>5000000</v>
      </c>
      <c r="E343" s="481">
        <f t="shared" ref="E343:E348" si="1">C343*D343</f>
        <v>10000000</v>
      </c>
    </row>
    <row r="344" spans="2:5" x14ac:dyDescent="0.2">
      <c r="B344" s="481" t="s">
        <v>742</v>
      </c>
      <c r="C344" s="481">
        <v>10000</v>
      </c>
      <c r="D344" s="481">
        <v>500</v>
      </c>
      <c r="E344" s="481">
        <f t="shared" si="1"/>
        <v>5000000</v>
      </c>
    </row>
    <row r="345" spans="2:5" x14ac:dyDescent="0.2">
      <c r="B345" s="481" t="s">
        <v>749</v>
      </c>
      <c r="C345" s="481">
        <v>30</v>
      </c>
      <c r="D345" s="481">
        <f>C287</f>
        <v>150000</v>
      </c>
      <c r="E345" s="481">
        <f t="shared" si="1"/>
        <v>4500000</v>
      </c>
    </row>
    <row r="346" spans="2:5" x14ac:dyDescent="0.2">
      <c r="B346" s="481" t="s">
        <v>60</v>
      </c>
      <c r="C346" s="481">
        <v>4</v>
      </c>
      <c r="D346" s="481">
        <v>5000000</v>
      </c>
      <c r="E346" s="481">
        <f t="shared" si="1"/>
        <v>20000000</v>
      </c>
    </row>
    <row r="347" spans="2:5" x14ac:dyDescent="0.2">
      <c r="B347" s="481" t="s">
        <v>750</v>
      </c>
      <c r="C347" s="481">
        <v>12</v>
      </c>
      <c r="D347" s="481">
        <f>C291</f>
        <v>4000000</v>
      </c>
      <c r="E347" s="481">
        <f t="shared" si="1"/>
        <v>48000000</v>
      </c>
    </row>
    <row r="348" spans="2:5" x14ac:dyDescent="0.2">
      <c r="B348" s="104" t="s">
        <v>751</v>
      </c>
      <c r="C348" s="481">
        <v>6</v>
      </c>
      <c r="D348" s="46">
        <f>C289</f>
        <v>8000000</v>
      </c>
      <c r="E348" s="481">
        <f t="shared" si="1"/>
        <v>48000000</v>
      </c>
    </row>
    <row r="349" spans="2:5" ht="15" x14ac:dyDescent="0.25">
      <c r="B349" s="512" t="s">
        <v>752</v>
      </c>
      <c r="C349" s="512"/>
      <c r="D349" s="512"/>
      <c r="E349" s="513">
        <f>SUM(E344:E348)</f>
        <v>125500000</v>
      </c>
    </row>
    <row r="350" spans="2:5" s="103" customFormat="1" ht="15" x14ac:dyDescent="0.25">
      <c r="B350" s="50" t="s">
        <v>753</v>
      </c>
      <c r="C350" s="50"/>
      <c r="D350" s="50"/>
      <c r="E350" s="514"/>
    </row>
    <row r="351" spans="2:5" x14ac:dyDescent="0.2">
      <c r="B351" s="508"/>
      <c r="C351" s="508"/>
      <c r="D351" s="42"/>
      <c r="E351" s="42"/>
    </row>
    <row r="352" spans="2:5" ht="15" x14ac:dyDescent="0.25">
      <c r="B352" s="686" t="s">
        <v>754</v>
      </c>
      <c r="C352" s="687"/>
    </row>
    <row r="353" spans="1:7" ht="15" x14ac:dyDescent="0.25">
      <c r="B353" s="512" t="s">
        <v>709</v>
      </c>
      <c r="C353" s="515" t="s">
        <v>59</v>
      </c>
      <c r="D353" s="515" t="s">
        <v>55</v>
      </c>
      <c r="E353" s="515" t="s">
        <v>33</v>
      </c>
    </row>
    <row r="354" spans="1:7" x14ac:dyDescent="0.2">
      <c r="B354" s="481" t="s">
        <v>741</v>
      </c>
      <c r="C354" s="481">
        <v>2</v>
      </c>
      <c r="D354" s="481">
        <v>5000000</v>
      </c>
      <c r="E354" s="481">
        <f t="shared" ref="E354:E360" si="2">C354*D354</f>
        <v>10000000</v>
      </c>
    </row>
    <row r="355" spans="1:7" x14ac:dyDescent="0.2">
      <c r="B355" s="481" t="s">
        <v>742</v>
      </c>
      <c r="C355" s="481">
        <v>2000</v>
      </c>
      <c r="D355" s="481">
        <v>500</v>
      </c>
      <c r="E355" s="481">
        <f t="shared" si="2"/>
        <v>1000000</v>
      </c>
    </row>
    <row r="356" spans="1:7" x14ac:dyDescent="0.2">
      <c r="B356" s="481" t="s">
        <v>755</v>
      </c>
      <c r="C356" s="481">
        <v>4</v>
      </c>
      <c r="D356" s="481">
        <f>C286</f>
        <v>9200000</v>
      </c>
      <c r="E356" s="481">
        <f t="shared" si="2"/>
        <v>36800000</v>
      </c>
    </row>
    <row r="357" spans="1:7" x14ac:dyDescent="0.2">
      <c r="B357" s="481" t="s">
        <v>60</v>
      </c>
      <c r="C357" s="481">
        <v>8</v>
      </c>
      <c r="D357" s="481">
        <v>5000000</v>
      </c>
      <c r="E357" s="481">
        <v>10000000</v>
      </c>
    </row>
    <row r="358" spans="1:7" x14ac:dyDescent="0.2">
      <c r="B358" s="481" t="s">
        <v>756</v>
      </c>
      <c r="C358" s="481">
        <v>2</v>
      </c>
      <c r="D358" s="481">
        <f>C290</f>
        <v>20000000</v>
      </c>
      <c r="E358" s="481">
        <f t="shared" si="2"/>
        <v>40000000</v>
      </c>
    </row>
    <row r="359" spans="1:7" x14ac:dyDescent="0.2">
      <c r="B359" s="104" t="s">
        <v>757</v>
      </c>
      <c r="C359" s="481">
        <v>2</v>
      </c>
      <c r="D359" s="46">
        <f>C319</f>
        <v>15000000</v>
      </c>
      <c r="E359" s="481">
        <f t="shared" si="2"/>
        <v>30000000</v>
      </c>
    </row>
    <row r="360" spans="1:7" x14ac:dyDescent="0.2">
      <c r="B360" s="104" t="s">
        <v>758</v>
      </c>
      <c r="C360" s="481">
        <v>1000</v>
      </c>
      <c r="D360" s="46">
        <v>15000</v>
      </c>
      <c r="E360" s="481">
        <f t="shared" si="2"/>
        <v>15000000</v>
      </c>
    </row>
    <row r="361" spans="1:7" ht="15" x14ac:dyDescent="0.25">
      <c r="B361" s="512" t="s">
        <v>759</v>
      </c>
      <c r="C361" s="512"/>
      <c r="D361" s="512"/>
      <c r="E361" s="513">
        <f>SUM(E354:E360)</f>
        <v>142800000</v>
      </c>
    </row>
    <row r="362" spans="1:7" s="103" customFormat="1" ht="15" x14ac:dyDescent="0.25">
      <c r="A362" s="102"/>
      <c r="B362" s="50" t="s">
        <v>760</v>
      </c>
      <c r="C362" s="102"/>
      <c r="D362" s="102"/>
      <c r="E362" s="102"/>
      <c r="F362" s="102"/>
    </row>
    <row r="363" spans="1:7" s="103" customFormat="1" x14ac:dyDescent="0.2">
      <c r="A363" s="102"/>
      <c r="B363" s="516"/>
      <c r="C363" s="517"/>
      <c r="D363" s="518"/>
      <c r="E363" s="518"/>
      <c r="F363" s="519"/>
      <c r="G363" s="519"/>
    </row>
    <row r="364" spans="1:7" ht="15" x14ac:dyDescent="0.25">
      <c r="B364" s="686" t="s">
        <v>761</v>
      </c>
      <c r="C364" s="687"/>
    </row>
    <row r="365" spans="1:7" ht="15" x14ac:dyDescent="0.25">
      <c r="B365" s="512" t="s">
        <v>709</v>
      </c>
      <c r="C365" s="515" t="s">
        <v>59</v>
      </c>
      <c r="D365" s="515" t="s">
        <v>55</v>
      </c>
      <c r="E365" s="515" t="s">
        <v>33</v>
      </c>
    </row>
    <row r="366" spans="1:7" x14ac:dyDescent="0.2">
      <c r="B366" s="481" t="s">
        <v>741</v>
      </c>
      <c r="C366" s="481">
        <v>2</v>
      </c>
      <c r="D366" s="481">
        <v>5000000</v>
      </c>
      <c r="E366" s="481">
        <f t="shared" ref="E366:E372" si="3">C366*D366</f>
        <v>10000000</v>
      </c>
    </row>
    <row r="367" spans="1:7" x14ac:dyDescent="0.2">
      <c r="B367" s="481" t="s">
        <v>742</v>
      </c>
      <c r="C367" s="481">
        <v>10000</v>
      </c>
      <c r="D367" s="481">
        <v>500</v>
      </c>
      <c r="E367" s="481">
        <f t="shared" si="3"/>
        <v>5000000</v>
      </c>
    </row>
    <row r="368" spans="1:7" x14ac:dyDescent="0.2">
      <c r="B368" s="481" t="s">
        <v>762</v>
      </c>
      <c r="C368" s="481">
        <v>20</v>
      </c>
      <c r="D368" s="481">
        <f>C287</f>
        <v>150000</v>
      </c>
      <c r="E368" s="481">
        <f t="shared" si="3"/>
        <v>3000000</v>
      </c>
    </row>
    <row r="369" spans="1:6" x14ac:dyDescent="0.2">
      <c r="B369" s="481" t="s">
        <v>60</v>
      </c>
      <c r="C369" s="481">
        <v>1</v>
      </c>
      <c r="D369" s="481">
        <v>5000000</v>
      </c>
      <c r="E369" s="481">
        <f t="shared" si="3"/>
        <v>5000000</v>
      </c>
    </row>
    <row r="370" spans="1:6" x14ac:dyDescent="0.2">
      <c r="B370" s="481" t="s">
        <v>750</v>
      </c>
      <c r="C370" s="481">
        <v>12</v>
      </c>
      <c r="D370" s="481">
        <f>C291</f>
        <v>4000000</v>
      </c>
      <c r="E370" s="481">
        <f t="shared" si="3"/>
        <v>48000000</v>
      </c>
    </row>
    <row r="371" spans="1:6" x14ac:dyDescent="0.2">
      <c r="B371" s="104" t="s">
        <v>763</v>
      </c>
      <c r="C371" s="481">
        <v>4</v>
      </c>
      <c r="D371" s="46">
        <f>C289</f>
        <v>8000000</v>
      </c>
      <c r="E371" s="481">
        <f t="shared" si="3"/>
        <v>32000000</v>
      </c>
    </row>
    <row r="372" spans="1:6" x14ac:dyDescent="0.2">
      <c r="B372" s="104" t="s">
        <v>758</v>
      </c>
      <c r="C372" s="481">
        <v>500</v>
      </c>
      <c r="D372" s="46">
        <v>15000</v>
      </c>
      <c r="E372" s="481">
        <f t="shared" si="3"/>
        <v>7500000</v>
      </c>
    </row>
    <row r="373" spans="1:6" ht="15" x14ac:dyDescent="0.25">
      <c r="B373" s="512" t="s">
        <v>759</v>
      </c>
      <c r="C373" s="512"/>
      <c r="D373" s="512"/>
      <c r="E373" s="513">
        <f>SUM(E366:E372)</f>
        <v>110500000</v>
      </c>
    </row>
    <row r="374" spans="1:6" s="103" customFormat="1" ht="15" x14ac:dyDescent="0.25">
      <c r="A374" s="102"/>
      <c r="B374" s="50" t="s">
        <v>760</v>
      </c>
      <c r="C374" s="102"/>
      <c r="D374" s="102"/>
      <c r="E374" s="102"/>
      <c r="F374" s="102"/>
    </row>
    <row r="375" spans="1:6" s="103" customFormat="1" ht="15" x14ac:dyDescent="0.25">
      <c r="A375" s="102"/>
      <c r="B375" s="50"/>
      <c r="C375" s="102"/>
      <c r="D375" s="102"/>
      <c r="E375" s="102"/>
      <c r="F375" s="102"/>
    </row>
    <row r="376" spans="1:6" s="103" customFormat="1" ht="15" x14ac:dyDescent="0.25">
      <c r="A376" s="102"/>
      <c r="B376" s="467" t="s">
        <v>764</v>
      </c>
      <c r="C376" s="511" t="s">
        <v>55</v>
      </c>
      <c r="D376" s="518"/>
      <c r="E376" s="518"/>
      <c r="F376" s="102"/>
    </row>
    <row r="377" spans="1:6" s="103" customFormat="1" x14ac:dyDescent="0.2">
      <c r="A377" s="102"/>
      <c r="B377" s="447" t="s">
        <v>765</v>
      </c>
      <c r="C377" s="481">
        <v>3500000</v>
      </c>
      <c r="D377" s="518"/>
      <c r="E377" s="518"/>
      <c r="F377" s="102"/>
    </row>
    <row r="378" spans="1:6" s="103" customFormat="1" x14ac:dyDescent="0.2">
      <c r="A378" s="102"/>
      <c r="B378" s="104" t="s">
        <v>766</v>
      </c>
      <c r="C378" s="481">
        <v>1500000</v>
      </c>
      <c r="D378" s="518"/>
      <c r="E378" s="518"/>
      <c r="F378" s="102"/>
    </row>
    <row r="379" spans="1:6" s="103" customFormat="1" x14ac:dyDescent="0.2">
      <c r="A379" s="102"/>
      <c r="B379" s="685" t="s">
        <v>767</v>
      </c>
      <c r="C379" s="685"/>
      <c r="D379" s="518"/>
      <c r="E379" s="518"/>
      <c r="F379" s="102"/>
    </row>
    <row r="380" spans="1:6" s="103" customFormat="1" x14ac:dyDescent="0.2">
      <c r="A380" s="102"/>
      <c r="B380" s="42"/>
      <c r="C380" s="42"/>
      <c r="D380" s="518"/>
      <c r="E380" s="518"/>
      <c r="F380" s="102"/>
    </row>
    <row r="381" spans="1:6" s="103" customFormat="1" x14ac:dyDescent="0.2">
      <c r="A381" s="102"/>
      <c r="B381" s="42"/>
      <c r="C381" s="42"/>
      <c r="D381" s="518"/>
      <c r="E381" s="518"/>
      <c r="F381" s="102"/>
    </row>
    <row r="382" spans="1:6" s="103" customFormat="1" ht="15" x14ac:dyDescent="0.25">
      <c r="A382" s="102"/>
      <c r="B382" s="686" t="s">
        <v>768</v>
      </c>
      <c r="C382" s="687"/>
      <c r="D382" s="102"/>
      <c r="E382" s="102"/>
      <c r="F382" s="102"/>
    </row>
    <row r="383" spans="1:6" s="103" customFormat="1" ht="15" x14ac:dyDescent="0.25">
      <c r="A383" s="102"/>
      <c r="B383" s="512" t="s">
        <v>769</v>
      </c>
      <c r="C383" s="515" t="s">
        <v>59</v>
      </c>
      <c r="D383" s="515" t="s">
        <v>55</v>
      </c>
      <c r="E383" s="515" t="s">
        <v>33</v>
      </c>
      <c r="F383" s="102"/>
    </row>
    <row r="384" spans="1:6" s="103" customFormat="1" x14ac:dyDescent="0.2">
      <c r="A384" s="102"/>
      <c r="B384" s="447" t="s">
        <v>770</v>
      </c>
      <c r="C384" s="481">
        <v>8</v>
      </c>
      <c r="D384" s="481">
        <f>D335</f>
        <v>9200000</v>
      </c>
      <c r="E384" s="481">
        <f>C384*D384</f>
        <v>73600000</v>
      </c>
      <c r="F384" s="102"/>
    </row>
    <row r="385" spans="1:7" s="103" customFormat="1" x14ac:dyDescent="0.2">
      <c r="A385" s="102"/>
      <c r="B385" s="447" t="s">
        <v>60</v>
      </c>
      <c r="C385" s="481">
        <v>1</v>
      </c>
      <c r="D385" s="481">
        <v>10000000</v>
      </c>
      <c r="E385" s="481">
        <f>C385*D385</f>
        <v>10000000</v>
      </c>
      <c r="F385" s="102"/>
    </row>
    <row r="386" spans="1:7" s="103" customFormat="1" ht="15" x14ac:dyDescent="0.25">
      <c r="A386" s="102"/>
      <c r="B386" s="512" t="s">
        <v>771</v>
      </c>
      <c r="C386" s="102"/>
      <c r="D386" s="102"/>
      <c r="E386" s="513">
        <f>SUM(E384:E385)</f>
        <v>83600000</v>
      </c>
      <c r="F386" s="102"/>
    </row>
    <row r="387" spans="1:7" s="103" customFormat="1" ht="15" x14ac:dyDescent="0.25">
      <c r="B387" s="520"/>
      <c r="E387" s="514"/>
    </row>
    <row r="388" spans="1:7" s="103" customFormat="1" ht="15" x14ac:dyDescent="0.25">
      <c r="A388" s="102"/>
      <c r="B388" s="688" t="s">
        <v>772</v>
      </c>
      <c r="C388" s="689"/>
      <c r="D388" s="102"/>
      <c r="E388" s="102"/>
      <c r="F388" s="519"/>
      <c r="G388" s="519"/>
    </row>
    <row r="389" spans="1:7" s="103" customFormat="1" ht="15" x14ac:dyDescent="0.25">
      <c r="A389" s="102"/>
      <c r="B389" s="512" t="s">
        <v>769</v>
      </c>
      <c r="C389" s="515" t="s">
        <v>59</v>
      </c>
      <c r="D389" s="515" t="s">
        <v>55</v>
      </c>
      <c r="E389" s="515" t="s">
        <v>33</v>
      </c>
      <c r="F389" s="519"/>
      <c r="G389" s="519"/>
    </row>
    <row r="390" spans="1:7" s="103" customFormat="1" x14ac:dyDescent="0.2">
      <c r="A390" s="102"/>
      <c r="B390" s="481" t="s">
        <v>762</v>
      </c>
      <c r="C390" s="481">
        <v>30</v>
      </c>
      <c r="D390" s="481">
        <f>C287</f>
        <v>150000</v>
      </c>
      <c r="E390" s="481">
        <f>C390*D390</f>
        <v>4500000</v>
      </c>
      <c r="F390" s="519"/>
      <c r="G390" s="519"/>
    </row>
    <row r="391" spans="1:7" s="103" customFormat="1" x14ac:dyDescent="0.2">
      <c r="A391" s="102"/>
      <c r="B391" s="481" t="s">
        <v>60</v>
      </c>
      <c r="C391" s="481">
        <v>1</v>
      </c>
      <c r="D391" s="481">
        <v>10000000</v>
      </c>
      <c r="E391" s="481">
        <f>C391*D391</f>
        <v>10000000</v>
      </c>
      <c r="F391" s="42"/>
      <c r="G391" s="42"/>
    </row>
    <row r="392" spans="1:7" s="103" customFormat="1" ht="15" x14ac:dyDescent="0.25">
      <c r="A392" s="102"/>
      <c r="B392" s="512" t="s">
        <v>61</v>
      </c>
      <c r="C392" s="102"/>
      <c r="D392" s="102"/>
      <c r="E392" s="513">
        <f>SUM(E390:E391)</f>
        <v>14500000</v>
      </c>
      <c r="F392" s="102"/>
    </row>
    <row r="393" spans="1:7" s="103" customFormat="1" x14ac:dyDescent="0.2">
      <c r="A393" s="102"/>
      <c r="B393" s="517"/>
      <c r="C393" s="517"/>
      <c r="D393" s="518"/>
      <c r="E393" s="518"/>
      <c r="F393" s="42"/>
      <c r="G393" s="42"/>
    </row>
    <row r="394" spans="1:7" s="103" customFormat="1" ht="15" x14ac:dyDescent="0.25">
      <c r="A394" s="102"/>
      <c r="B394" s="688" t="s">
        <v>773</v>
      </c>
      <c r="C394" s="689"/>
      <c r="D394" s="102"/>
      <c r="E394" s="102"/>
      <c r="F394" s="519"/>
      <c r="G394" s="519"/>
    </row>
    <row r="395" spans="1:7" s="103" customFormat="1" ht="15" x14ac:dyDescent="0.25">
      <c r="A395" s="102"/>
      <c r="B395" s="512" t="s">
        <v>769</v>
      </c>
      <c r="C395" s="515" t="s">
        <v>59</v>
      </c>
      <c r="D395" s="515" t="s">
        <v>55</v>
      </c>
      <c r="E395" s="515" t="s">
        <v>33</v>
      </c>
      <c r="F395" s="519"/>
      <c r="G395" s="519"/>
    </row>
    <row r="396" spans="1:7" s="103" customFormat="1" x14ac:dyDescent="0.2">
      <c r="A396" s="102"/>
      <c r="B396" s="481" t="s">
        <v>770</v>
      </c>
      <c r="C396" s="481"/>
      <c r="D396" s="481"/>
      <c r="E396" s="481"/>
      <c r="F396" s="519"/>
      <c r="G396" s="519"/>
    </row>
    <row r="397" spans="1:7" s="103" customFormat="1" x14ac:dyDescent="0.2">
      <c r="A397" s="102"/>
      <c r="B397" s="481" t="s">
        <v>762</v>
      </c>
      <c r="C397" s="481">
        <v>30</v>
      </c>
      <c r="D397" s="481">
        <f>C293</f>
        <v>217000000</v>
      </c>
      <c r="E397" s="481">
        <f>C397*D397</f>
        <v>6510000000</v>
      </c>
      <c r="F397" s="519"/>
      <c r="G397" s="519"/>
    </row>
    <row r="398" spans="1:7" s="103" customFormat="1" x14ac:dyDescent="0.2">
      <c r="A398" s="102"/>
      <c r="B398" s="481"/>
      <c r="C398" s="481"/>
      <c r="D398" s="481"/>
      <c r="E398" s="481"/>
      <c r="F398" s="519"/>
      <c r="G398" s="519"/>
    </row>
    <row r="399" spans="1:7" s="103" customFormat="1" x14ac:dyDescent="0.2">
      <c r="A399" s="102"/>
      <c r="B399" s="481" t="s">
        <v>60</v>
      </c>
      <c r="C399" s="481">
        <v>1</v>
      </c>
      <c r="D399" s="481">
        <v>10000000</v>
      </c>
      <c r="E399" s="481">
        <f>C399*D399</f>
        <v>10000000</v>
      </c>
      <c r="F399" s="42"/>
      <c r="G399" s="42"/>
    </row>
    <row r="400" spans="1:7" s="103" customFormat="1" ht="15" x14ac:dyDescent="0.25">
      <c r="A400" s="102"/>
      <c r="B400" s="512" t="s">
        <v>61</v>
      </c>
      <c r="C400" s="102"/>
      <c r="D400" s="102"/>
      <c r="E400" s="513">
        <f>SUM(E397:E399)</f>
        <v>6520000000</v>
      </c>
      <c r="F400" s="102"/>
    </row>
    <row r="401" spans="1:17" s="103" customFormat="1" x14ac:dyDescent="0.2">
      <c r="A401" s="102"/>
      <c r="B401" s="42"/>
      <c r="C401" s="42"/>
      <c r="D401" s="518"/>
      <c r="E401" s="518"/>
      <c r="F401" s="102"/>
    </row>
    <row r="402" spans="1:17" s="103" customFormat="1" x14ac:dyDescent="0.2">
      <c r="A402" s="102"/>
      <c r="B402" s="42"/>
      <c r="C402" s="42"/>
      <c r="D402" s="518"/>
      <c r="E402" s="518"/>
      <c r="F402" s="102"/>
    </row>
    <row r="403" spans="1:17" s="103" customFormat="1" ht="15" x14ac:dyDescent="0.25">
      <c r="A403" s="102"/>
      <c r="B403" s="512" t="s">
        <v>774</v>
      </c>
      <c r="C403" s="102"/>
      <c r="D403" s="518"/>
      <c r="E403" s="518"/>
      <c r="F403" s="102"/>
    </row>
    <row r="404" spans="1:17" s="103" customFormat="1" x14ac:dyDescent="0.2">
      <c r="A404" s="102"/>
      <c r="B404" s="104" t="str">
        <f>B411</f>
        <v>a. Rueda de negocio nacional y regional presencial</v>
      </c>
      <c r="C404" s="481">
        <f>C421</f>
        <v>52200000</v>
      </c>
      <c r="D404" s="102"/>
      <c r="E404" s="102"/>
      <c r="F404" s="102"/>
    </row>
    <row r="405" spans="1:17" s="103" customFormat="1" x14ac:dyDescent="0.2">
      <c r="A405" s="102"/>
      <c r="B405" s="104" t="str">
        <f>B425</f>
        <v>b Rueda de negocio  virtual</v>
      </c>
      <c r="C405" s="481">
        <f>C429</f>
        <v>20000000</v>
      </c>
      <c r="D405" s="102"/>
      <c r="E405" s="102"/>
      <c r="F405" s="102"/>
    </row>
    <row r="406" spans="1:17" s="103" customFormat="1" x14ac:dyDescent="0.2">
      <c r="A406" s="102"/>
      <c r="B406" s="104" t="str">
        <f>B432</f>
        <v xml:space="preserve">c. Participación en ferias comerciales </v>
      </c>
      <c r="C406" s="46">
        <f>C436</f>
        <v>18000000</v>
      </c>
      <c r="D406" s="102"/>
      <c r="E406" s="102"/>
      <c r="F406" s="102"/>
    </row>
    <row r="407" spans="1:17" s="103" customFormat="1" x14ac:dyDescent="0.2">
      <c r="A407" s="102"/>
      <c r="B407" s="104" t="str">
        <f>B439</f>
        <v>d. Participación en ferias comerciales internacionales</v>
      </c>
      <c r="C407" s="46">
        <f>C444</f>
        <v>45000000</v>
      </c>
      <c r="D407" s="102"/>
      <c r="E407" s="102"/>
      <c r="F407" s="102"/>
    </row>
    <row r="408" spans="1:17" s="103" customFormat="1" x14ac:dyDescent="0.2">
      <c r="A408" s="102"/>
      <c r="B408" s="104" t="s">
        <v>775</v>
      </c>
      <c r="C408" s="46">
        <v>5000000</v>
      </c>
      <c r="D408" s="518"/>
      <c r="E408" s="518"/>
      <c r="F408" s="42"/>
      <c r="G408" s="42"/>
    </row>
    <row r="409" spans="1:17" s="103" customFormat="1" x14ac:dyDescent="0.2">
      <c r="A409" s="102"/>
      <c r="B409" s="518"/>
      <c r="C409" s="518"/>
      <c r="D409" s="518"/>
      <c r="E409" s="518"/>
      <c r="F409" s="42"/>
      <c r="G409" s="42"/>
    </row>
    <row r="410" spans="1:17" s="103" customFormat="1" x14ac:dyDescent="0.2">
      <c r="A410" s="102"/>
      <c r="B410" s="517"/>
      <c r="C410" s="517"/>
      <c r="D410" s="518"/>
      <c r="E410" s="518"/>
      <c r="F410" s="42"/>
      <c r="G410" s="42"/>
    </row>
    <row r="411" spans="1:17" ht="15" x14ac:dyDescent="0.25">
      <c r="B411" s="512" t="s">
        <v>776</v>
      </c>
      <c r="J411" s="103"/>
      <c r="K411" s="103"/>
      <c r="L411" s="103"/>
      <c r="M411" s="103"/>
      <c r="N411" s="103"/>
      <c r="O411" s="103"/>
      <c r="P411" s="103"/>
      <c r="Q411" s="103"/>
    </row>
    <row r="412" spans="1:17" x14ac:dyDescent="0.2">
      <c r="B412" s="104" t="s">
        <v>777</v>
      </c>
      <c r="C412" s="481">
        <f>400000*30</f>
        <v>12000000</v>
      </c>
      <c r="J412" s="103"/>
      <c r="K412" s="103"/>
      <c r="L412" s="103"/>
      <c r="M412" s="103"/>
      <c r="N412" s="103"/>
      <c r="O412" s="103"/>
      <c r="P412" s="103"/>
      <c r="Q412" s="103"/>
    </row>
    <row r="413" spans="1:17" x14ac:dyDescent="0.2">
      <c r="B413" s="104" t="s">
        <v>778</v>
      </c>
      <c r="C413" s="481">
        <v>5000000</v>
      </c>
      <c r="J413" s="103"/>
      <c r="K413" s="103"/>
      <c r="L413" s="103"/>
      <c r="M413" s="103"/>
      <c r="N413" s="103"/>
      <c r="O413" s="103"/>
      <c r="P413" s="103"/>
      <c r="Q413" s="103"/>
    </row>
    <row r="414" spans="1:17" x14ac:dyDescent="0.2">
      <c r="B414" s="104" t="s">
        <v>779</v>
      </c>
      <c r="C414" s="481">
        <f>30*30000</f>
        <v>900000</v>
      </c>
      <c r="J414" s="103"/>
      <c r="K414" s="103"/>
      <c r="L414" s="103"/>
      <c r="M414" s="103"/>
      <c r="N414" s="103"/>
      <c r="O414" s="103"/>
      <c r="P414" s="103"/>
      <c r="Q414" s="103"/>
    </row>
    <row r="415" spans="1:17" x14ac:dyDescent="0.2">
      <c r="B415" s="104" t="s">
        <v>674</v>
      </c>
      <c r="C415" s="481">
        <v>100000</v>
      </c>
      <c r="J415" s="103"/>
      <c r="K415" s="103"/>
      <c r="L415" s="103"/>
      <c r="M415" s="103"/>
      <c r="N415" s="103"/>
      <c r="O415" s="103"/>
      <c r="P415" s="103"/>
      <c r="Q415" s="103"/>
    </row>
    <row r="416" spans="1:17" x14ac:dyDescent="0.2">
      <c r="B416" s="104" t="s">
        <v>780</v>
      </c>
      <c r="C416" s="481">
        <f>300000*30</f>
        <v>9000000</v>
      </c>
      <c r="J416" s="103"/>
      <c r="K416" s="103"/>
      <c r="L416" s="103"/>
      <c r="M416" s="103"/>
      <c r="N416" s="103"/>
      <c r="O416" s="103"/>
      <c r="P416" s="103"/>
      <c r="Q416" s="103"/>
    </row>
    <row r="417" spans="2:17" x14ac:dyDescent="0.2">
      <c r="B417" s="104" t="s">
        <v>781</v>
      </c>
      <c r="C417" s="481">
        <f>2000*100</f>
        <v>200000</v>
      </c>
      <c r="J417" s="103"/>
      <c r="K417" s="103"/>
      <c r="L417" s="103"/>
      <c r="M417" s="103"/>
      <c r="N417" s="103"/>
      <c r="O417" s="103"/>
      <c r="P417" s="103"/>
      <c r="Q417" s="103"/>
    </row>
    <row r="418" spans="2:17" x14ac:dyDescent="0.2">
      <c r="B418" s="104" t="s">
        <v>62</v>
      </c>
      <c r="C418" s="481">
        <v>10000000</v>
      </c>
      <c r="J418" s="103"/>
      <c r="K418" s="103"/>
      <c r="L418" s="103"/>
      <c r="M418" s="103"/>
      <c r="N418" s="103"/>
      <c r="O418" s="103"/>
      <c r="P418" s="103"/>
      <c r="Q418" s="103"/>
    </row>
    <row r="419" spans="2:17" x14ac:dyDescent="0.2">
      <c r="B419" s="104" t="s">
        <v>741</v>
      </c>
      <c r="C419" s="481">
        <v>10000000</v>
      </c>
      <c r="J419" s="103"/>
      <c r="K419" s="103"/>
      <c r="L419" s="103"/>
      <c r="M419" s="103"/>
      <c r="N419" s="103"/>
      <c r="O419" s="103"/>
      <c r="P419" s="103"/>
      <c r="Q419" s="103"/>
    </row>
    <row r="420" spans="2:17" x14ac:dyDescent="0.2">
      <c r="B420" s="104" t="s">
        <v>782</v>
      </c>
      <c r="C420" s="481">
        <v>5000000</v>
      </c>
      <c r="J420" s="103"/>
      <c r="K420" s="103"/>
      <c r="L420" s="103"/>
      <c r="M420" s="103"/>
      <c r="N420" s="103"/>
      <c r="O420" s="103"/>
      <c r="P420" s="103"/>
      <c r="Q420" s="103"/>
    </row>
    <row r="421" spans="2:17" ht="15" x14ac:dyDescent="0.25">
      <c r="B421" s="512" t="s">
        <v>783</v>
      </c>
      <c r="C421" s="521">
        <f>SUM(C412:C420)</f>
        <v>52200000</v>
      </c>
      <c r="J421" s="103"/>
      <c r="K421" s="103"/>
      <c r="L421" s="103"/>
      <c r="M421" s="103"/>
      <c r="N421" s="103"/>
      <c r="O421" s="103"/>
      <c r="P421" s="103"/>
      <c r="Q421" s="103"/>
    </row>
    <row r="422" spans="2:17" x14ac:dyDescent="0.2">
      <c r="B422" s="102" t="s">
        <v>784</v>
      </c>
      <c r="J422" s="103"/>
      <c r="K422" s="103"/>
      <c r="L422" s="103"/>
      <c r="M422" s="103"/>
      <c r="N422" s="103"/>
      <c r="O422" s="103"/>
      <c r="P422" s="103"/>
      <c r="Q422" s="103"/>
    </row>
    <row r="423" spans="2:17" x14ac:dyDescent="0.2">
      <c r="B423" s="102" t="s">
        <v>76</v>
      </c>
      <c r="J423" s="103"/>
      <c r="K423" s="103"/>
      <c r="L423" s="103"/>
      <c r="M423" s="103"/>
      <c r="N423" s="103"/>
      <c r="O423" s="103"/>
      <c r="P423" s="103"/>
      <c r="Q423" s="103"/>
    </row>
    <row r="424" spans="2:17" x14ac:dyDescent="0.2">
      <c r="J424" s="103"/>
      <c r="K424" s="103"/>
      <c r="L424" s="103"/>
      <c r="M424" s="103"/>
      <c r="N424" s="103"/>
      <c r="O424" s="103"/>
      <c r="P424" s="103"/>
      <c r="Q424" s="103"/>
    </row>
    <row r="425" spans="2:17" ht="15" x14ac:dyDescent="0.25">
      <c r="B425" s="512" t="s">
        <v>785</v>
      </c>
      <c r="C425" s="431"/>
      <c r="J425" s="103"/>
      <c r="K425" s="103"/>
      <c r="L425" s="103"/>
      <c r="M425" s="103"/>
      <c r="N425" s="103"/>
      <c r="O425" s="103"/>
      <c r="P425" s="103"/>
      <c r="Q425" s="103"/>
    </row>
    <row r="426" spans="2:17" x14ac:dyDescent="0.2">
      <c r="B426" s="104" t="s">
        <v>62</v>
      </c>
      <c r="C426" s="481">
        <v>5000000</v>
      </c>
      <c r="J426" s="103"/>
      <c r="K426" s="103"/>
      <c r="L426" s="103"/>
      <c r="M426" s="103"/>
      <c r="N426" s="103"/>
      <c r="O426" s="103"/>
      <c r="P426" s="103"/>
      <c r="Q426" s="103"/>
    </row>
    <row r="427" spans="2:17" x14ac:dyDescent="0.2">
      <c r="B427" s="104" t="s">
        <v>741</v>
      </c>
      <c r="C427" s="481">
        <v>10000000</v>
      </c>
      <c r="J427" s="103"/>
      <c r="K427" s="103"/>
      <c r="L427" s="103"/>
      <c r="M427" s="103"/>
      <c r="N427" s="103"/>
      <c r="O427" s="103"/>
      <c r="P427" s="103"/>
      <c r="Q427" s="103"/>
    </row>
    <row r="428" spans="2:17" x14ac:dyDescent="0.2">
      <c r="B428" s="104" t="s">
        <v>786</v>
      </c>
      <c r="C428" s="481">
        <v>5000000</v>
      </c>
      <c r="J428" s="103"/>
      <c r="K428" s="103"/>
      <c r="L428" s="103"/>
      <c r="M428" s="103"/>
      <c r="N428" s="103"/>
      <c r="O428" s="103"/>
      <c r="P428" s="103"/>
      <c r="Q428" s="103"/>
    </row>
    <row r="429" spans="2:17" ht="15" x14ac:dyDescent="0.25">
      <c r="B429" s="512" t="s">
        <v>783</v>
      </c>
      <c r="C429" s="521">
        <f>SUM(C426:C428)</f>
        <v>20000000</v>
      </c>
      <c r="J429" s="103"/>
      <c r="K429" s="103"/>
      <c r="L429" s="103"/>
      <c r="M429" s="103"/>
      <c r="N429" s="103"/>
      <c r="O429" s="103"/>
      <c r="P429" s="103"/>
      <c r="Q429" s="103"/>
    </row>
    <row r="430" spans="2:17" x14ac:dyDescent="0.2">
      <c r="B430" s="102" t="s">
        <v>106</v>
      </c>
      <c r="J430" s="103"/>
      <c r="K430" s="103"/>
      <c r="L430" s="103"/>
      <c r="M430" s="103"/>
      <c r="N430" s="103"/>
      <c r="O430" s="103"/>
      <c r="P430" s="103"/>
      <c r="Q430" s="103"/>
    </row>
    <row r="431" spans="2:17" x14ac:dyDescent="0.2">
      <c r="J431" s="103"/>
      <c r="K431" s="103"/>
      <c r="L431" s="103"/>
      <c r="M431" s="103"/>
      <c r="N431" s="103"/>
      <c r="O431" s="103"/>
      <c r="P431" s="103"/>
      <c r="Q431" s="103"/>
    </row>
    <row r="432" spans="2:17" ht="15" x14ac:dyDescent="0.25">
      <c r="B432" s="512" t="s">
        <v>787</v>
      </c>
      <c r="C432" s="431"/>
      <c r="J432" s="103"/>
      <c r="K432" s="103"/>
      <c r="L432" s="103"/>
      <c r="M432" s="103"/>
      <c r="N432" s="103"/>
      <c r="O432" s="103"/>
      <c r="P432" s="103"/>
      <c r="Q432" s="103"/>
    </row>
    <row r="433" spans="2:17" x14ac:dyDescent="0.2">
      <c r="B433" s="104" t="s">
        <v>788</v>
      </c>
      <c r="C433" s="481">
        <f>1400000*5</f>
        <v>7000000</v>
      </c>
      <c r="J433" s="103"/>
      <c r="K433" s="103"/>
      <c r="L433" s="103"/>
      <c r="M433" s="103"/>
      <c r="N433" s="103"/>
      <c r="O433" s="103"/>
      <c r="P433" s="103"/>
      <c r="Q433" s="103"/>
    </row>
    <row r="434" spans="2:17" x14ac:dyDescent="0.2">
      <c r="B434" s="104" t="s">
        <v>780</v>
      </c>
      <c r="C434" s="481">
        <f>200000*5</f>
        <v>1000000</v>
      </c>
      <c r="J434" s="103"/>
      <c r="K434" s="103"/>
      <c r="L434" s="103"/>
      <c r="M434" s="103"/>
      <c r="N434" s="103"/>
      <c r="O434" s="103"/>
      <c r="P434" s="103"/>
      <c r="Q434" s="103"/>
    </row>
    <row r="435" spans="2:17" x14ac:dyDescent="0.2">
      <c r="B435" s="104" t="s">
        <v>789</v>
      </c>
      <c r="C435" s="481">
        <f>2000000*5</f>
        <v>10000000</v>
      </c>
      <c r="J435" s="103"/>
      <c r="K435" s="103"/>
      <c r="L435" s="103"/>
      <c r="M435" s="103"/>
      <c r="N435" s="103"/>
      <c r="O435" s="103"/>
      <c r="P435" s="103"/>
      <c r="Q435" s="103"/>
    </row>
    <row r="436" spans="2:17" ht="15" x14ac:dyDescent="0.25">
      <c r="B436" s="522" t="s">
        <v>790</v>
      </c>
      <c r="C436" s="521">
        <f>SUM(C433:C435)</f>
        <v>18000000</v>
      </c>
      <c r="J436" s="103"/>
      <c r="K436" s="103"/>
      <c r="L436" s="103"/>
      <c r="M436" s="103"/>
      <c r="N436" s="103"/>
      <c r="O436" s="103"/>
      <c r="P436" s="103"/>
      <c r="Q436" s="103"/>
    </row>
    <row r="437" spans="2:17" x14ac:dyDescent="0.2">
      <c r="B437" s="102" t="s">
        <v>791</v>
      </c>
      <c r="J437" s="103"/>
      <c r="K437" s="103"/>
      <c r="L437" s="103"/>
      <c r="M437" s="103"/>
      <c r="N437" s="103"/>
      <c r="O437" s="103"/>
      <c r="P437" s="103"/>
      <c r="Q437" s="103"/>
    </row>
    <row r="438" spans="2:17" x14ac:dyDescent="0.2">
      <c r="J438" s="103"/>
      <c r="K438" s="103"/>
      <c r="L438" s="103"/>
      <c r="M438" s="103"/>
      <c r="N438" s="103"/>
      <c r="O438" s="103"/>
      <c r="P438" s="103"/>
      <c r="Q438" s="103"/>
    </row>
    <row r="439" spans="2:17" ht="15" x14ac:dyDescent="0.25">
      <c r="B439" s="512" t="s">
        <v>792</v>
      </c>
      <c r="C439" s="431"/>
      <c r="J439" s="103"/>
      <c r="K439" s="103"/>
      <c r="L439" s="103"/>
      <c r="M439" s="103"/>
      <c r="N439" s="103"/>
      <c r="O439" s="103"/>
      <c r="P439" s="103"/>
      <c r="Q439" s="103"/>
    </row>
    <row r="440" spans="2:17" x14ac:dyDescent="0.2">
      <c r="B440" s="104" t="s">
        <v>793</v>
      </c>
      <c r="C440" s="481">
        <f>2500000*5</f>
        <v>12500000</v>
      </c>
      <c r="J440" s="103"/>
      <c r="K440" s="103"/>
      <c r="L440" s="103"/>
      <c r="M440" s="103"/>
      <c r="N440" s="103"/>
      <c r="O440" s="103"/>
      <c r="P440" s="103"/>
      <c r="Q440" s="103"/>
    </row>
    <row r="441" spans="2:17" x14ac:dyDescent="0.2">
      <c r="B441" s="104" t="s">
        <v>780</v>
      </c>
      <c r="C441" s="481">
        <f>1000*5*C281</f>
        <v>18591125</v>
      </c>
      <c r="J441" s="103"/>
      <c r="K441" s="103"/>
      <c r="L441" s="103"/>
      <c r="M441" s="103"/>
      <c r="N441" s="103"/>
      <c r="O441" s="103"/>
      <c r="P441" s="103"/>
      <c r="Q441" s="103"/>
    </row>
    <row r="442" spans="2:17" x14ac:dyDescent="0.2">
      <c r="B442" s="104" t="s">
        <v>794</v>
      </c>
      <c r="C442" s="481">
        <f>3500*C281</f>
        <v>13013787.500000002</v>
      </c>
      <c r="J442" s="103"/>
      <c r="K442" s="103"/>
      <c r="L442" s="103"/>
      <c r="M442" s="103"/>
      <c r="N442" s="103"/>
      <c r="O442" s="103"/>
      <c r="P442" s="103"/>
      <c r="Q442" s="103"/>
    </row>
    <row r="443" spans="2:17" ht="15" x14ac:dyDescent="0.25">
      <c r="B443" s="522" t="s">
        <v>790</v>
      </c>
      <c r="C443" s="521">
        <f>SUM(C440:C442)</f>
        <v>44104912.5</v>
      </c>
      <c r="J443" s="103"/>
      <c r="K443" s="103"/>
      <c r="L443" s="103"/>
      <c r="M443" s="103"/>
      <c r="N443" s="103"/>
      <c r="O443" s="103"/>
      <c r="P443" s="103"/>
      <c r="Q443" s="103"/>
    </row>
    <row r="444" spans="2:17" ht="15" x14ac:dyDescent="0.25">
      <c r="B444" s="512" t="s">
        <v>795</v>
      </c>
      <c r="C444" s="521">
        <v>45000000</v>
      </c>
      <c r="J444" s="103"/>
      <c r="K444" s="103"/>
      <c r="L444" s="103"/>
      <c r="M444" s="103"/>
      <c r="N444" s="103"/>
      <c r="O444" s="103"/>
      <c r="P444" s="103"/>
      <c r="Q444" s="103"/>
    </row>
    <row r="445" spans="2:17" x14ac:dyDescent="0.2">
      <c r="B445" s="102" t="s">
        <v>796</v>
      </c>
      <c r="J445" s="103"/>
      <c r="K445" s="103"/>
      <c r="L445" s="103"/>
      <c r="M445" s="103"/>
      <c r="N445" s="103"/>
      <c r="O445" s="103"/>
      <c r="P445" s="103"/>
      <c r="Q445" s="103"/>
    </row>
    <row r="446" spans="2:17" x14ac:dyDescent="0.2">
      <c r="J446" s="103"/>
      <c r="K446" s="103"/>
      <c r="L446" s="103"/>
      <c r="M446" s="103"/>
      <c r="N446" s="103"/>
      <c r="O446" s="103"/>
      <c r="P446" s="103"/>
      <c r="Q446" s="103"/>
    </row>
    <row r="447" spans="2:17" x14ac:dyDescent="0.2">
      <c r="J447" s="103"/>
      <c r="K447" s="103"/>
      <c r="L447" s="103"/>
      <c r="M447" s="103"/>
      <c r="N447" s="103"/>
      <c r="O447" s="103"/>
      <c r="P447" s="103"/>
      <c r="Q447" s="103"/>
    </row>
    <row r="448" spans="2:17" x14ac:dyDescent="0.2">
      <c r="J448" s="103"/>
      <c r="K448" s="103"/>
      <c r="L448" s="103"/>
      <c r="M448" s="103"/>
      <c r="N448" s="103"/>
      <c r="O448" s="103"/>
      <c r="P448" s="103"/>
      <c r="Q448" s="103"/>
    </row>
    <row r="449" spans="2:17" ht="15" x14ac:dyDescent="0.25">
      <c r="B449" s="523" t="s">
        <v>797</v>
      </c>
      <c r="F449" s="431"/>
      <c r="J449" s="103"/>
      <c r="K449" s="103"/>
      <c r="L449" s="103"/>
      <c r="M449" s="103"/>
      <c r="N449" s="103"/>
      <c r="O449" s="103"/>
      <c r="P449" s="103"/>
      <c r="Q449" s="103"/>
    </row>
    <row r="450" spans="2:17" ht="57" x14ac:dyDescent="0.2">
      <c r="B450" s="48" t="s">
        <v>798</v>
      </c>
      <c r="C450" s="315" t="s">
        <v>799</v>
      </c>
      <c r="D450" s="46">
        <f>200000*30</f>
        <v>6000000</v>
      </c>
      <c r="J450" s="103"/>
      <c r="K450" s="103"/>
      <c r="L450" s="103"/>
      <c r="M450" s="103"/>
      <c r="N450" s="103"/>
      <c r="O450" s="103"/>
      <c r="P450" s="103"/>
      <c r="Q450" s="103"/>
    </row>
    <row r="451" spans="2:17" ht="42.75" x14ac:dyDescent="0.2">
      <c r="B451" s="48" t="s">
        <v>800</v>
      </c>
      <c r="C451" s="315" t="s">
        <v>801</v>
      </c>
      <c r="D451" s="46">
        <f>D450*30%</f>
        <v>1800000</v>
      </c>
      <c r="J451" s="103"/>
      <c r="K451" s="103"/>
      <c r="L451" s="103"/>
      <c r="M451" s="103"/>
      <c r="N451" s="103"/>
      <c r="O451" s="103"/>
      <c r="P451" s="103"/>
      <c r="Q451" s="103"/>
    </row>
    <row r="452" spans="2:17" x14ac:dyDescent="0.2">
      <c r="B452" s="48" t="s">
        <v>802</v>
      </c>
      <c r="C452" s="104" t="s">
        <v>803</v>
      </c>
      <c r="D452" s="46">
        <v>1500000</v>
      </c>
      <c r="J452" s="103"/>
      <c r="K452" s="103"/>
      <c r="L452" s="103"/>
      <c r="M452" s="103"/>
      <c r="N452" s="103"/>
      <c r="O452" s="103"/>
      <c r="P452" s="103"/>
      <c r="Q452" s="103"/>
    </row>
    <row r="453" spans="2:17" ht="28.5" x14ac:dyDescent="0.2">
      <c r="B453" s="48" t="s">
        <v>804</v>
      </c>
      <c r="C453" s="315" t="s">
        <v>805</v>
      </c>
      <c r="D453" s="46">
        <f>D452*30%</f>
        <v>450000</v>
      </c>
      <c r="J453" s="103"/>
      <c r="K453" s="103"/>
      <c r="L453" s="103"/>
      <c r="M453" s="103"/>
      <c r="N453" s="103"/>
      <c r="O453" s="103"/>
      <c r="P453" s="103"/>
      <c r="Q453" s="103"/>
    </row>
    <row r="454" spans="2:17" x14ac:dyDescent="0.2">
      <c r="B454" s="48" t="s">
        <v>806</v>
      </c>
      <c r="C454" s="315" t="s">
        <v>803</v>
      </c>
      <c r="D454" s="46">
        <v>3000000</v>
      </c>
      <c r="J454" s="103"/>
      <c r="K454" s="103"/>
      <c r="L454" s="103"/>
      <c r="M454" s="103"/>
      <c r="N454" s="103"/>
      <c r="O454" s="103"/>
      <c r="P454" s="103"/>
      <c r="Q454" s="103"/>
    </row>
    <row r="455" spans="2:17" ht="28.5" x14ac:dyDescent="0.2">
      <c r="B455" s="48" t="s">
        <v>807</v>
      </c>
      <c r="C455" s="315" t="s">
        <v>808</v>
      </c>
      <c r="D455" s="46">
        <f>D454*30%</f>
        <v>900000</v>
      </c>
      <c r="J455" s="103"/>
      <c r="K455" s="103"/>
      <c r="L455" s="103"/>
      <c r="M455" s="103"/>
      <c r="N455" s="103"/>
      <c r="O455" s="103"/>
      <c r="P455" s="103"/>
      <c r="Q455" s="103"/>
    </row>
    <row r="456" spans="2:17" x14ac:dyDescent="0.2">
      <c r="B456" s="48" t="s">
        <v>809</v>
      </c>
      <c r="C456" s="104" t="s">
        <v>803</v>
      </c>
      <c r="D456" s="46">
        <v>30000000</v>
      </c>
      <c r="J456" s="103"/>
      <c r="K456" s="103"/>
      <c r="L456" s="103"/>
      <c r="M456" s="103"/>
      <c r="N456" s="103"/>
      <c r="O456" s="103"/>
      <c r="P456" s="103"/>
      <c r="Q456" s="103"/>
    </row>
    <row r="457" spans="2:17" x14ac:dyDescent="0.2">
      <c r="B457" s="48" t="s">
        <v>810</v>
      </c>
      <c r="C457" s="104" t="s">
        <v>811</v>
      </c>
      <c r="D457" s="46">
        <v>45000000</v>
      </c>
      <c r="P457" s="103"/>
      <c r="Q457" s="103"/>
    </row>
    <row r="458" spans="2:17" x14ac:dyDescent="0.2">
      <c r="B458" s="48" t="s">
        <v>812</v>
      </c>
      <c r="C458" s="104" t="s">
        <v>803</v>
      </c>
      <c r="D458" s="46">
        <v>100000000</v>
      </c>
      <c r="P458" s="103"/>
      <c r="Q458" s="103"/>
    </row>
    <row r="459" spans="2:17" x14ac:dyDescent="0.2">
      <c r="B459" s="684" t="s">
        <v>813</v>
      </c>
      <c r="C459" s="685"/>
      <c r="D459" s="685"/>
      <c r="P459" s="103"/>
      <c r="Q459" s="103"/>
    </row>
    <row r="460" spans="2:17" x14ac:dyDescent="0.2">
      <c r="P460" s="103"/>
      <c r="Q460" s="103"/>
    </row>
    <row r="461" spans="2:17" ht="15" x14ac:dyDescent="0.25">
      <c r="B461" s="523" t="s">
        <v>814</v>
      </c>
      <c r="F461" s="431"/>
      <c r="P461" s="103"/>
      <c r="Q461" s="103"/>
    </row>
    <row r="462" spans="2:17" x14ac:dyDescent="0.2">
      <c r="P462" s="103"/>
      <c r="Q462" s="103"/>
    </row>
    <row r="463" spans="2:17" ht="15" x14ac:dyDescent="0.25">
      <c r="B463" s="524" t="s">
        <v>815</v>
      </c>
      <c r="C463" s="524"/>
      <c r="D463" s="424"/>
      <c r="F463" s="431"/>
      <c r="P463" s="103"/>
      <c r="Q463" s="103"/>
    </row>
    <row r="464" spans="2:17" x14ac:dyDescent="0.2">
      <c r="B464" s="104" t="s">
        <v>816</v>
      </c>
      <c r="C464" s="54">
        <v>26000000</v>
      </c>
      <c r="D464" s="424"/>
      <c r="F464" s="431"/>
      <c r="P464" s="103"/>
      <c r="Q464" s="103"/>
    </row>
    <row r="465" spans="2:18" x14ac:dyDescent="0.2">
      <c r="B465" s="104" t="s">
        <v>817</v>
      </c>
      <c r="C465" s="54">
        <v>17000000</v>
      </c>
      <c r="D465" s="424"/>
      <c r="F465" s="431"/>
      <c r="J465" s="103"/>
      <c r="K465" s="103"/>
      <c r="L465" s="103"/>
      <c r="M465" s="103"/>
      <c r="N465" s="103"/>
      <c r="O465" s="103"/>
      <c r="P465" s="103"/>
      <c r="Q465" s="103"/>
    </row>
    <row r="466" spans="2:18" ht="15" x14ac:dyDescent="0.25">
      <c r="B466" s="524" t="s">
        <v>818</v>
      </c>
      <c r="C466" s="525">
        <f>SUM(C464:C465)</f>
        <v>43000000</v>
      </c>
      <c r="D466" s="424"/>
      <c r="F466" s="431"/>
      <c r="J466" s="103"/>
      <c r="K466" s="103"/>
      <c r="L466" s="103"/>
      <c r="M466" s="103"/>
      <c r="N466" s="103"/>
      <c r="O466" s="103"/>
      <c r="P466" s="103"/>
      <c r="Q466" s="103"/>
    </row>
    <row r="467" spans="2:18" x14ac:dyDescent="0.2">
      <c r="B467" s="102" t="s">
        <v>819</v>
      </c>
      <c r="F467" s="431"/>
    </row>
    <row r="468" spans="2:18" x14ac:dyDescent="0.2">
      <c r="F468" s="431"/>
    </row>
    <row r="469" spans="2:18" s="25" customFormat="1" ht="15" x14ac:dyDescent="0.25">
      <c r="B469" s="526" t="s">
        <v>820</v>
      </c>
      <c r="C469" s="527" t="s">
        <v>821</v>
      </c>
      <c r="D469" s="527" t="s">
        <v>55</v>
      </c>
      <c r="E469" s="527" t="s">
        <v>822</v>
      </c>
      <c r="F469" s="528"/>
    </row>
    <row r="470" spans="2:18" ht="24.75" customHeight="1" x14ac:dyDescent="0.2">
      <c r="B470" s="398" t="s">
        <v>823</v>
      </c>
      <c r="C470" s="105" t="s">
        <v>107</v>
      </c>
      <c r="D470" s="55">
        <v>225000</v>
      </c>
      <c r="E470" s="108" t="s">
        <v>824</v>
      </c>
      <c r="F470" s="431"/>
    </row>
    <row r="471" spans="2:18" ht="25.5" customHeight="1" x14ac:dyDescent="0.2">
      <c r="B471" s="529" t="s">
        <v>825</v>
      </c>
      <c r="C471" s="529" t="s">
        <v>826</v>
      </c>
      <c r="D471" s="480">
        <v>182000</v>
      </c>
      <c r="E471" s="108" t="s">
        <v>827</v>
      </c>
      <c r="F471" s="431"/>
    </row>
    <row r="472" spans="2:18" s="25" customFormat="1" ht="27" customHeight="1" x14ac:dyDescent="0.2">
      <c r="B472" s="529" t="s">
        <v>828</v>
      </c>
      <c r="C472" s="529" t="s">
        <v>829</v>
      </c>
      <c r="D472" s="480">
        <v>130000</v>
      </c>
      <c r="E472" s="108" t="s">
        <v>827</v>
      </c>
      <c r="F472" s="528"/>
    </row>
    <row r="473" spans="2:18" s="25" customFormat="1" ht="27" customHeight="1" x14ac:dyDescent="0.2">
      <c r="B473" s="529"/>
      <c r="C473" s="530"/>
      <c r="D473" s="531"/>
      <c r="E473" s="238"/>
      <c r="F473" s="528"/>
    </row>
    <row r="474" spans="2:18" ht="18" customHeight="1" x14ac:dyDescent="0.25">
      <c r="B474" s="523" t="s">
        <v>830</v>
      </c>
      <c r="C474" s="532"/>
      <c r="D474" s="532"/>
      <c r="E474" s="532"/>
      <c r="F474" s="532"/>
      <c r="G474" s="532"/>
      <c r="H474" s="532"/>
      <c r="I474" s="532"/>
      <c r="J474" s="532"/>
      <c r="K474" s="532"/>
      <c r="L474" s="532"/>
      <c r="M474" s="532"/>
      <c r="N474" s="532"/>
      <c r="O474" s="532"/>
      <c r="P474" s="532"/>
      <c r="Q474" s="532"/>
      <c r="R474" s="106"/>
    </row>
    <row r="475" spans="2:18" ht="15" x14ac:dyDescent="0.25">
      <c r="B475"/>
      <c r="C475" s="532"/>
      <c r="D475" s="532"/>
      <c r="E475" s="532"/>
      <c r="F475" s="532"/>
      <c r="G475" s="532"/>
      <c r="H475" s="532"/>
      <c r="I475" s="532"/>
      <c r="J475" s="532"/>
      <c r="K475" s="532"/>
      <c r="L475" s="532"/>
      <c r="M475" s="532"/>
      <c r="N475" s="532"/>
      <c r="O475" s="532"/>
      <c r="P475" s="532"/>
      <c r="Q475" s="532"/>
      <c r="R475" s="106"/>
    </row>
    <row r="476" spans="2:18" ht="15" x14ac:dyDescent="0.25">
      <c r="B476" s="533" t="s">
        <v>831</v>
      </c>
      <c r="C476" s="532"/>
      <c r="D476" s="532"/>
      <c r="E476" s="532"/>
      <c r="F476" s="532"/>
      <c r="G476" s="532"/>
      <c r="H476" s="532"/>
      <c r="I476" s="532"/>
      <c r="J476" s="532"/>
      <c r="K476" s="532"/>
      <c r="L476" s="532"/>
      <c r="M476" s="532"/>
      <c r="N476" s="532"/>
      <c r="O476" s="532"/>
      <c r="P476" s="532"/>
      <c r="Q476" s="532"/>
      <c r="R476" s="106"/>
    </row>
    <row r="477" spans="2:18" s="103" customFormat="1" ht="27.95" customHeight="1" x14ac:dyDescent="0.25">
      <c r="B477" s="534" t="s">
        <v>832</v>
      </c>
      <c r="C477" s="523" t="s">
        <v>55</v>
      </c>
      <c r="D477"/>
      <c r="E477" s="532"/>
      <c r="F477" s="532"/>
      <c r="G477" s="532"/>
      <c r="H477" s="532"/>
      <c r="I477" s="532"/>
      <c r="J477" s="532"/>
      <c r="K477" s="532"/>
      <c r="L477" s="532"/>
      <c r="M477" s="532"/>
      <c r="N477" s="532"/>
      <c r="O477" s="532"/>
      <c r="P477" s="532"/>
      <c r="Q477" s="532"/>
      <c r="R477" s="106"/>
    </row>
    <row r="478" spans="2:18" s="103" customFormat="1" ht="15" x14ac:dyDescent="0.25">
      <c r="B478" s="104" t="s">
        <v>833</v>
      </c>
      <c r="C478" s="535">
        <v>49350000</v>
      </c>
      <c r="D478"/>
      <c r="E478" s="532"/>
      <c r="F478" s="532"/>
      <c r="G478" s="532"/>
      <c r="H478" s="532"/>
      <c r="I478" s="532"/>
      <c r="J478" s="532"/>
      <c r="K478" s="532"/>
      <c r="L478" s="532"/>
      <c r="M478" s="532"/>
      <c r="N478" s="532"/>
      <c r="O478" s="532"/>
      <c r="P478" s="532"/>
      <c r="Q478" s="532"/>
      <c r="R478" s="106"/>
    </row>
    <row r="479" spans="2:18" ht="43.5" hidden="1" x14ac:dyDescent="0.25">
      <c r="B479" s="315" t="s">
        <v>834</v>
      </c>
      <c r="C479" s="535">
        <v>3448200000</v>
      </c>
      <c r="D479"/>
      <c r="E479" s="532"/>
      <c r="F479" s="532"/>
      <c r="G479" s="532"/>
      <c r="H479" s="532"/>
      <c r="I479" s="532"/>
      <c r="J479" s="532"/>
      <c r="K479" s="532"/>
      <c r="L479" s="532"/>
      <c r="M479" s="532"/>
      <c r="N479" s="532"/>
      <c r="O479" s="532"/>
      <c r="P479" s="532"/>
      <c r="Q479" s="532"/>
      <c r="R479" s="106"/>
    </row>
    <row r="480" spans="2:18" ht="43.5" hidden="1" x14ac:dyDescent="0.25">
      <c r="B480" s="315" t="s">
        <v>835</v>
      </c>
      <c r="C480" s="535">
        <v>7414400000</v>
      </c>
      <c r="D480"/>
      <c r="E480" s="532"/>
      <c r="F480" s="532"/>
      <c r="G480" s="532"/>
      <c r="H480" s="532"/>
      <c r="I480" s="532"/>
      <c r="J480" s="532"/>
      <c r="K480" s="532"/>
      <c r="L480" s="532"/>
      <c r="M480" s="532"/>
      <c r="N480" s="532"/>
      <c r="O480" s="532"/>
      <c r="P480" s="532"/>
      <c r="Q480" s="532"/>
      <c r="R480" s="106"/>
    </row>
    <row r="481" spans="2:18" ht="37.5" customHeight="1" x14ac:dyDescent="0.2">
      <c r="B481" s="536" t="s">
        <v>836</v>
      </c>
      <c r="C481" s="532"/>
      <c r="D481" s="532"/>
      <c r="E481" s="532"/>
      <c r="F481" s="532"/>
      <c r="G481" s="532"/>
      <c r="H481" s="532"/>
      <c r="I481" s="532"/>
      <c r="J481" s="532"/>
      <c r="K481" s="532"/>
      <c r="L481" s="532"/>
      <c r="M481" s="532"/>
      <c r="N481" s="532"/>
      <c r="O481" s="532"/>
      <c r="P481" s="532"/>
      <c r="Q481" s="532"/>
      <c r="R481" s="106"/>
    </row>
    <row r="482" spans="2:18" ht="15" x14ac:dyDescent="0.25">
      <c r="B482" s="537" t="s">
        <v>837</v>
      </c>
      <c r="C482" s="532"/>
      <c r="D482" s="532"/>
      <c r="E482" s="532"/>
      <c r="F482" s="532"/>
      <c r="G482" s="532"/>
      <c r="H482" s="532"/>
      <c r="I482" s="532"/>
      <c r="J482" s="532"/>
      <c r="K482" s="532"/>
      <c r="L482" s="532"/>
      <c r="M482" s="532"/>
      <c r="N482" s="532"/>
      <c r="O482" s="532"/>
      <c r="P482" s="532"/>
      <c r="Q482" s="532"/>
      <c r="R482" s="106"/>
    </row>
    <row r="483" spans="2:18" x14ac:dyDescent="0.2">
      <c r="B483" s="42"/>
      <c r="C483" s="538"/>
      <c r="E483" s="532"/>
      <c r="F483" s="532"/>
      <c r="G483" s="532"/>
      <c r="H483" s="532"/>
      <c r="I483" s="532"/>
      <c r="J483" s="532"/>
      <c r="K483" s="532"/>
      <c r="L483" s="532"/>
      <c r="M483" s="532"/>
      <c r="N483" s="532"/>
      <c r="O483" s="532"/>
      <c r="P483" s="532"/>
      <c r="Q483" s="532"/>
      <c r="R483" s="106"/>
    </row>
    <row r="484" spans="2:18" ht="15" x14ac:dyDescent="0.25">
      <c r="B484" s="533" t="s">
        <v>838</v>
      </c>
      <c r="C484"/>
      <c r="D484"/>
      <c r="E484"/>
      <c r="F484"/>
      <c r="G484"/>
      <c r="H484"/>
      <c r="I484"/>
      <c r="J484"/>
      <c r="K484"/>
      <c r="L484"/>
      <c r="M484"/>
      <c r="N484"/>
      <c r="O484"/>
      <c r="P484"/>
      <c r="Q484"/>
      <c r="R484"/>
    </row>
    <row r="485" spans="2:18" ht="15" x14ac:dyDescent="0.25">
      <c r="B485" s="533" t="s">
        <v>839</v>
      </c>
      <c r="C485" s="523" t="s">
        <v>55</v>
      </c>
      <c r="D485"/>
      <c r="E485"/>
      <c r="F485"/>
      <c r="G485"/>
      <c r="H485"/>
      <c r="I485"/>
      <c r="J485"/>
      <c r="K485"/>
      <c r="L485"/>
      <c r="M485"/>
      <c r="N485"/>
      <c r="O485"/>
      <c r="P485"/>
      <c r="Q485"/>
      <c r="R485"/>
    </row>
    <row r="486" spans="2:18" ht="15" x14ac:dyDescent="0.25">
      <c r="B486" s="105" t="s">
        <v>840</v>
      </c>
      <c r="C486" s="539">
        <f>300*1000*$C$281</f>
        <v>1115467500</v>
      </c>
      <c r="D486"/>
      <c r="E486"/>
      <c r="F486"/>
      <c r="G486"/>
      <c r="H486"/>
      <c r="I486"/>
      <c r="J486"/>
      <c r="K486"/>
      <c r="L486"/>
      <c r="M486"/>
      <c r="N486"/>
      <c r="O486"/>
      <c r="P486"/>
      <c r="Q486"/>
      <c r="R486"/>
    </row>
    <row r="487" spans="2:18" ht="29.25" x14ac:dyDescent="0.25">
      <c r="B487" s="398" t="s">
        <v>841</v>
      </c>
      <c r="C487" s="539">
        <f>300*3000*$C$281</f>
        <v>3346402500.0000005</v>
      </c>
      <c r="D487"/>
      <c r="E487"/>
      <c r="F487"/>
      <c r="G487"/>
      <c r="H487"/>
      <c r="I487"/>
      <c r="J487"/>
      <c r="K487"/>
      <c r="L487"/>
      <c r="M487"/>
      <c r="N487"/>
      <c r="O487"/>
      <c r="P487"/>
      <c r="Q487"/>
      <c r="R487"/>
    </row>
    <row r="488" spans="2:18" ht="29.25" x14ac:dyDescent="0.25">
      <c r="B488" s="398" t="s">
        <v>842</v>
      </c>
      <c r="C488" s="539">
        <f>300*9000*$C$281</f>
        <v>10039207500.000002</v>
      </c>
      <c r="D488"/>
      <c r="E488"/>
      <c r="F488"/>
      <c r="G488"/>
      <c r="H488"/>
      <c r="I488"/>
      <c r="J488"/>
      <c r="K488"/>
      <c r="L488"/>
      <c r="M488"/>
      <c r="N488"/>
      <c r="O488"/>
      <c r="P488"/>
      <c r="Q488"/>
      <c r="R488"/>
    </row>
    <row r="489" spans="2:18" ht="29.25" x14ac:dyDescent="0.25">
      <c r="B489" s="398" t="s">
        <v>843</v>
      </c>
      <c r="C489" s="539">
        <f>300*27000*$C$281</f>
        <v>30117622500.000004</v>
      </c>
      <c r="D489"/>
      <c r="E489"/>
      <c r="F489"/>
      <c r="G489"/>
      <c r="H489"/>
      <c r="I489"/>
      <c r="J489"/>
      <c r="K489"/>
      <c r="L489"/>
      <c r="M489"/>
      <c r="N489"/>
      <c r="O489"/>
      <c r="P489"/>
      <c r="Q489"/>
      <c r="R489"/>
    </row>
    <row r="490" spans="2:18" ht="15" x14ac:dyDescent="0.25">
      <c r="B490" s="228" t="s">
        <v>844</v>
      </c>
      <c r="C490" s="81"/>
      <c r="D490"/>
      <c r="E490"/>
      <c r="F490"/>
      <c r="G490"/>
      <c r="H490"/>
      <c r="I490"/>
      <c r="J490"/>
      <c r="K490"/>
      <c r="L490"/>
      <c r="M490"/>
      <c r="N490"/>
      <c r="O490"/>
      <c r="P490"/>
      <c r="Q490"/>
      <c r="R490"/>
    </row>
    <row r="491" spans="2:18" ht="15" x14ac:dyDescent="0.25">
      <c r="B491"/>
      <c r="C491"/>
      <c r="D491"/>
      <c r="E491"/>
      <c r="F491"/>
      <c r="G491"/>
      <c r="H491"/>
      <c r="I491"/>
      <c r="J491"/>
      <c r="K491"/>
      <c r="L491"/>
      <c r="M491"/>
      <c r="N491"/>
      <c r="O491"/>
      <c r="P491" s="25"/>
      <c r="Q491" s="25"/>
      <c r="R491" s="25"/>
    </row>
    <row r="492" spans="2:18" ht="15" x14ac:dyDescent="0.25">
      <c r="B492" s="533" t="s">
        <v>845</v>
      </c>
      <c r="C492" s="523" t="s">
        <v>55</v>
      </c>
      <c r="D492"/>
      <c r="E492"/>
      <c r="F492"/>
      <c r="G492"/>
      <c r="H492"/>
      <c r="I492"/>
      <c r="J492"/>
      <c r="K492"/>
      <c r="L492"/>
      <c r="M492"/>
      <c r="N492"/>
      <c r="O492"/>
      <c r="P492"/>
      <c r="Q492"/>
      <c r="R492"/>
    </row>
    <row r="493" spans="2:18" ht="15" x14ac:dyDescent="0.25">
      <c r="B493" s="105" t="s">
        <v>846</v>
      </c>
      <c r="C493" s="540">
        <v>80000000</v>
      </c>
      <c r="D493"/>
      <c r="E493"/>
      <c r="F493"/>
      <c r="G493"/>
      <c r="H493"/>
      <c r="I493"/>
      <c r="J493"/>
      <c r="K493"/>
      <c r="L493"/>
      <c r="M493"/>
      <c r="N493"/>
      <c r="O493"/>
      <c r="P493"/>
      <c r="Q493"/>
      <c r="R493"/>
    </row>
    <row r="494" spans="2:18" ht="15" x14ac:dyDescent="0.25">
      <c r="B494" s="105" t="s">
        <v>847</v>
      </c>
      <c r="C494" s="540">
        <v>87000000</v>
      </c>
      <c r="D494"/>
      <c r="E494"/>
      <c r="F494"/>
      <c r="G494"/>
      <c r="H494"/>
      <c r="I494"/>
      <c r="J494"/>
      <c r="K494"/>
      <c r="L494"/>
      <c r="M494"/>
      <c r="N494"/>
      <c r="O494"/>
      <c r="P494" s="25"/>
      <c r="Q494" s="25"/>
      <c r="R494" s="25"/>
    </row>
    <row r="495" spans="2:18" ht="15" x14ac:dyDescent="0.25">
      <c r="B495" s="102" t="s">
        <v>848</v>
      </c>
      <c r="C495" s="58"/>
      <c r="D495"/>
      <c r="E495"/>
      <c r="F495"/>
      <c r="G495"/>
      <c r="H495"/>
      <c r="I495"/>
      <c r="J495"/>
      <c r="K495"/>
      <c r="L495"/>
      <c r="M495"/>
      <c r="N495"/>
      <c r="O495"/>
      <c r="P495" s="25"/>
      <c r="Q495" s="25"/>
      <c r="R495" s="25"/>
    </row>
    <row r="496" spans="2:18" ht="15" x14ac:dyDescent="0.25">
      <c r="B496" s="541"/>
      <c r="C496" s="58"/>
      <c r="D496"/>
      <c r="E496"/>
      <c r="F496"/>
      <c r="G496"/>
      <c r="H496"/>
      <c r="I496"/>
      <c r="J496"/>
      <c r="K496"/>
      <c r="L496"/>
      <c r="M496"/>
      <c r="N496"/>
      <c r="O496"/>
    </row>
    <row r="497" spans="2:18" ht="15" x14ac:dyDescent="0.25">
      <c r="B497" s="461" t="s">
        <v>849</v>
      </c>
      <c r="C497" s="104"/>
      <c r="D497"/>
      <c r="E497"/>
      <c r="F497"/>
      <c r="G497"/>
      <c r="H497"/>
      <c r="I497"/>
      <c r="J497"/>
      <c r="K497"/>
      <c r="L497"/>
      <c r="M497"/>
      <c r="N497"/>
      <c r="O497"/>
    </row>
    <row r="498" spans="2:18" x14ac:dyDescent="0.2">
      <c r="B498" s="105" t="s">
        <v>850</v>
      </c>
      <c r="C498" s="540">
        <v>7500000</v>
      </c>
    </row>
    <row r="499" spans="2:18" x14ac:dyDescent="0.2">
      <c r="B499" s="105" t="s">
        <v>851</v>
      </c>
      <c r="C499" s="540">
        <v>9700000</v>
      </c>
    </row>
    <row r="500" spans="2:18" x14ac:dyDescent="0.2">
      <c r="B500" s="105" t="s">
        <v>852</v>
      </c>
      <c r="C500" s="540">
        <v>11500000</v>
      </c>
    </row>
    <row r="501" spans="2:18" x14ac:dyDescent="0.2">
      <c r="B501" s="228" t="s">
        <v>853</v>
      </c>
      <c r="C501" s="542"/>
    </row>
    <row r="502" spans="2:18" x14ac:dyDescent="0.2">
      <c r="B502" s="541"/>
      <c r="D502" s="543"/>
      <c r="E502" s="543"/>
      <c r="F502" s="543"/>
      <c r="G502" s="543"/>
      <c r="H502" s="543"/>
      <c r="I502" s="543"/>
      <c r="J502" s="543"/>
      <c r="K502" s="543"/>
      <c r="L502" s="543"/>
      <c r="M502" s="543"/>
      <c r="N502" s="543"/>
      <c r="O502" s="543"/>
      <c r="P502" s="543"/>
      <c r="Q502" s="543"/>
      <c r="R502" s="543"/>
    </row>
    <row r="503" spans="2:18" ht="15" x14ac:dyDescent="0.25">
      <c r="B503" s="533" t="s">
        <v>854</v>
      </c>
      <c r="C503" s="523" t="s">
        <v>55</v>
      </c>
      <c r="D503" s="543"/>
      <c r="E503" s="543"/>
      <c r="F503" s="543"/>
      <c r="G503" s="543"/>
      <c r="H503" s="543"/>
      <c r="I503" s="543"/>
      <c r="J503" s="543"/>
      <c r="K503" s="543"/>
      <c r="L503" s="543"/>
      <c r="M503" s="543"/>
      <c r="N503" s="543"/>
      <c r="O503" s="543"/>
      <c r="P503" s="543"/>
      <c r="Q503" s="543"/>
      <c r="R503" s="543"/>
    </row>
    <row r="504" spans="2:18" ht="57" x14ac:dyDescent="0.2">
      <c r="B504" s="398" t="s">
        <v>855</v>
      </c>
      <c r="C504" s="109">
        <f>8308794225*1.7</f>
        <v>14124950182.5</v>
      </c>
      <c r="D504" s="543"/>
      <c r="E504" s="543"/>
      <c r="F504" s="543"/>
      <c r="G504" s="543"/>
      <c r="H504" s="543"/>
      <c r="I504" s="543"/>
      <c r="J504" s="543"/>
      <c r="K504" s="543"/>
      <c r="L504" s="543"/>
      <c r="M504" s="543"/>
      <c r="N504" s="543"/>
      <c r="O504" s="543"/>
      <c r="P504" s="543"/>
      <c r="Q504" s="543"/>
      <c r="R504" s="543"/>
    </row>
    <row r="505" spans="2:18" x14ac:dyDescent="0.2">
      <c r="B505" s="105" t="s">
        <v>856</v>
      </c>
      <c r="C505" s="109">
        <f>1452133575*1.7</f>
        <v>2468627077.5</v>
      </c>
      <c r="D505" s="543"/>
      <c r="E505" s="543"/>
      <c r="F505" s="543"/>
      <c r="G505" s="543"/>
      <c r="H505" s="543"/>
      <c r="I505" s="543"/>
      <c r="J505" s="543"/>
      <c r="K505" s="543"/>
      <c r="L505" s="543"/>
      <c r="M505" s="543"/>
      <c r="N505" s="543"/>
      <c r="O505" s="543"/>
      <c r="P505" s="543"/>
      <c r="Q505" s="543"/>
      <c r="R505" s="543"/>
    </row>
    <row r="506" spans="2:18" x14ac:dyDescent="0.2">
      <c r="B506" s="544"/>
      <c r="C506" s="109">
        <f>+C505+C504</f>
        <v>16593577260</v>
      </c>
      <c r="D506" s="543"/>
      <c r="E506" s="543"/>
      <c r="F506" s="543"/>
      <c r="G506" s="543"/>
      <c r="H506" s="543"/>
      <c r="I506" s="543"/>
      <c r="J506" s="543"/>
      <c r="K506" s="543"/>
      <c r="L506" s="543"/>
      <c r="M506" s="543"/>
      <c r="N506" s="543"/>
      <c r="O506" s="543"/>
      <c r="P506" s="543"/>
      <c r="Q506" s="543"/>
      <c r="R506" s="543"/>
    </row>
    <row r="507" spans="2:18" ht="42.75" customHeight="1" x14ac:dyDescent="0.25">
      <c r="B507" s="536" t="s">
        <v>857</v>
      </c>
      <c r="D507"/>
      <c r="E507"/>
      <c r="F507"/>
      <c r="G507"/>
      <c r="H507"/>
      <c r="I507"/>
      <c r="J507" s="543"/>
      <c r="K507" s="543"/>
      <c r="L507" s="543"/>
      <c r="M507" s="543"/>
      <c r="N507" s="543"/>
      <c r="O507" s="543"/>
      <c r="P507" s="543"/>
      <c r="Q507" s="543"/>
      <c r="R507" s="543"/>
    </row>
    <row r="508" spans="2:18" x14ac:dyDescent="0.2">
      <c r="C508" s="116"/>
    </row>
    <row r="509" spans="2:18" x14ac:dyDescent="0.2">
      <c r="B509" s="545"/>
      <c r="C509" s="545"/>
      <c r="D509" s="546"/>
    </row>
    <row r="510" spans="2:18" ht="15" x14ac:dyDescent="0.25">
      <c r="B510" s="523" t="s">
        <v>858</v>
      </c>
    </row>
    <row r="511" spans="2:18" s="103" customFormat="1" x14ac:dyDescent="0.2">
      <c r="D511" s="102"/>
    </row>
    <row r="512" spans="2:18" s="103" customFormat="1" ht="15" x14ac:dyDescent="0.25">
      <c r="B512" s="523" t="s">
        <v>859</v>
      </c>
      <c r="D512" s="102"/>
    </row>
    <row r="513" spans="2:18" s="103" customFormat="1" ht="15" x14ac:dyDescent="0.25">
      <c r="B513" s="523" t="s">
        <v>728</v>
      </c>
      <c r="C513" s="523" t="s">
        <v>55</v>
      </c>
      <c r="D513" s="102"/>
    </row>
    <row r="514" spans="2:18" s="103" customFormat="1" x14ac:dyDescent="0.2">
      <c r="B514" s="481" t="s">
        <v>860</v>
      </c>
      <c r="C514" s="481">
        <v>193000</v>
      </c>
      <c r="D514" s="116"/>
    </row>
    <row r="515" spans="2:18" s="103" customFormat="1" x14ac:dyDescent="0.2">
      <c r="B515" s="481" t="s">
        <v>861</v>
      </c>
      <c r="C515" s="481">
        <v>5.8</v>
      </c>
      <c r="D515" s="102"/>
    </row>
    <row r="516" spans="2:18" s="103" customFormat="1" x14ac:dyDescent="0.2">
      <c r="B516" s="481" t="s">
        <v>862</v>
      </c>
      <c r="C516" s="481">
        <f>C514*C515</f>
        <v>1119400</v>
      </c>
      <c r="D516" s="102"/>
    </row>
    <row r="517" spans="2:18" s="103" customFormat="1" ht="19.5" customHeight="1" x14ac:dyDescent="0.25">
      <c r="B517" s="547" t="s">
        <v>863</v>
      </c>
      <c r="C517" s="548">
        <f>C516*20%</f>
        <v>223880</v>
      </c>
      <c r="D517" s="102"/>
    </row>
    <row r="518" spans="2:18" s="103" customFormat="1" ht="19.5" customHeight="1" x14ac:dyDescent="0.2">
      <c r="B518" s="481" t="s">
        <v>864</v>
      </c>
      <c r="C518" s="481">
        <v>1000000</v>
      </c>
      <c r="D518" s="431"/>
    </row>
    <row r="519" spans="2:18" s="103" customFormat="1" ht="19.5" customHeight="1" x14ac:dyDescent="0.2">
      <c r="B519" s="481" t="s">
        <v>865</v>
      </c>
      <c r="C519" s="549">
        <f>C517</f>
        <v>223880</v>
      </c>
      <c r="D519" s="431"/>
    </row>
    <row r="520" spans="2:18" s="103" customFormat="1" ht="19.5" customHeight="1" x14ac:dyDescent="0.2">
      <c r="B520" s="481" t="s">
        <v>866</v>
      </c>
      <c r="C520" s="550">
        <v>3.7499999999999999E-2</v>
      </c>
    </row>
    <row r="521" spans="2:18" s="103" customFormat="1" ht="19.5" customHeight="1" x14ac:dyDescent="0.2">
      <c r="B521" s="481" t="s">
        <v>867</v>
      </c>
      <c r="C521" s="217">
        <v>4.0000000000000002E-4</v>
      </c>
      <c r="D521" s="551"/>
    </row>
    <row r="522" spans="2:18" s="103" customFormat="1" ht="19.5" customHeight="1" x14ac:dyDescent="0.25">
      <c r="B522" s="49"/>
      <c r="C522" s="548">
        <f>C518*(C520+C521)</f>
        <v>37899.999999999993</v>
      </c>
    </row>
    <row r="523" spans="2:18" s="103" customFormat="1" ht="30.95" customHeight="1" x14ac:dyDescent="0.25">
      <c r="B523" s="552" t="s">
        <v>868</v>
      </c>
      <c r="C523" s="553">
        <f>+C522*C517</f>
        <v>8485051999.9999981</v>
      </c>
    </row>
    <row r="524" spans="2:18" s="103" customFormat="1" x14ac:dyDescent="0.2">
      <c r="C524" s="431"/>
      <c r="D524" s="431"/>
    </row>
    <row r="525" spans="2:18" s="103" customFormat="1" x14ac:dyDescent="0.2">
      <c r="C525" s="431"/>
      <c r="D525" s="431"/>
    </row>
    <row r="526" spans="2:18" s="103" customFormat="1" ht="15" x14ac:dyDescent="0.25">
      <c r="B526" s="523" t="s">
        <v>869</v>
      </c>
      <c r="C526" s="431"/>
      <c r="D526" s="431"/>
    </row>
    <row r="527" spans="2:18" x14ac:dyDescent="0.2">
      <c r="B527" s="554" t="s">
        <v>870</v>
      </c>
      <c r="C527" s="51">
        <v>38004</v>
      </c>
      <c r="D527" s="25"/>
      <c r="E527" s="25"/>
      <c r="F527" s="528"/>
      <c r="G527" s="25"/>
      <c r="H527" s="25"/>
      <c r="I527" s="392"/>
      <c r="J527" s="392"/>
      <c r="K527" s="25"/>
      <c r="L527" s="25"/>
      <c r="M527" s="25"/>
      <c r="N527" s="25"/>
      <c r="O527" s="25"/>
      <c r="P527" s="25"/>
      <c r="Q527" s="25"/>
      <c r="R527" s="25"/>
    </row>
    <row r="528" spans="2:18" ht="30" x14ac:dyDescent="0.2">
      <c r="B528" s="555" t="s">
        <v>871</v>
      </c>
      <c r="C528" s="556" t="s">
        <v>872</v>
      </c>
      <c r="D528" s="556" t="s">
        <v>873</v>
      </c>
      <c r="E528" s="556" t="s">
        <v>874</v>
      </c>
      <c r="F528" s="556" t="s">
        <v>875</v>
      </c>
      <c r="G528" s="556" t="s">
        <v>876</v>
      </c>
      <c r="H528" s="556" t="s">
        <v>877</v>
      </c>
      <c r="I528" s="392"/>
      <c r="J528" s="392"/>
      <c r="K528" s="25"/>
      <c r="L528" s="25"/>
      <c r="M528" s="25"/>
      <c r="N528" s="25"/>
      <c r="O528" s="25"/>
      <c r="P528" s="25"/>
      <c r="Q528" s="25"/>
      <c r="R528" s="25"/>
    </row>
    <row r="529" spans="2:18" ht="15" x14ac:dyDescent="0.2">
      <c r="B529" s="557" t="s">
        <v>878</v>
      </c>
      <c r="C529" s="558">
        <v>23563</v>
      </c>
      <c r="D529" s="559">
        <f>C527*C529</f>
        <v>895488252</v>
      </c>
      <c r="E529" s="560">
        <v>0.1</v>
      </c>
      <c r="F529" s="51">
        <f>D529*E529</f>
        <v>89548825.200000003</v>
      </c>
      <c r="G529" s="560">
        <v>0.1</v>
      </c>
      <c r="H529" s="561">
        <f>F529*G529</f>
        <v>8954882.5200000014</v>
      </c>
      <c r="I529" s="392"/>
      <c r="J529" s="392"/>
      <c r="K529" s="25"/>
      <c r="L529" s="25"/>
      <c r="M529" s="25"/>
      <c r="N529" s="25"/>
      <c r="O529" s="25"/>
      <c r="P529" s="25"/>
      <c r="Q529" s="25"/>
      <c r="R529" s="25"/>
    </row>
    <row r="530" spans="2:18" ht="15" x14ac:dyDescent="0.2">
      <c r="B530" s="562" t="s">
        <v>879</v>
      </c>
      <c r="C530" s="558">
        <v>204995</v>
      </c>
      <c r="D530" s="559">
        <f>C527*C530</f>
        <v>7790629980</v>
      </c>
      <c r="E530" s="560">
        <v>0.05</v>
      </c>
      <c r="F530" s="51">
        <f>D530*E530</f>
        <v>389531499</v>
      </c>
      <c r="G530" s="560">
        <v>0.05</v>
      </c>
      <c r="H530" s="561">
        <f>F530*G530</f>
        <v>19476574.949999999</v>
      </c>
      <c r="I530" s="392"/>
      <c r="J530" s="392"/>
      <c r="K530" s="25"/>
      <c r="L530" s="25"/>
      <c r="M530" s="25"/>
      <c r="N530" s="25"/>
      <c r="O530" s="25"/>
      <c r="P530" s="25"/>
      <c r="Q530" s="25"/>
      <c r="R530" s="25"/>
    </row>
    <row r="531" spans="2:18" x14ac:dyDescent="0.2">
      <c r="B531" s="557" t="s">
        <v>880</v>
      </c>
      <c r="C531" s="558">
        <v>1736565</v>
      </c>
      <c r="D531" s="559">
        <f>C527*C531</f>
        <v>65996416260</v>
      </c>
      <c r="E531" s="560"/>
      <c r="F531" s="51">
        <f>D531*E531</f>
        <v>0</v>
      </c>
      <c r="G531" s="560"/>
      <c r="H531" s="563">
        <f>F531*G531</f>
        <v>0</v>
      </c>
      <c r="I531" s="392"/>
      <c r="J531" s="392"/>
      <c r="K531" s="25"/>
      <c r="L531" s="25"/>
      <c r="M531" s="25"/>
      <c r="N531" s="25"/>
      <c r="O531" s="25"/>
      <c r="P531" s="25"/>
      <c r="Q531" s="25"/>
      <c r="R531" s="25"/>
    </row>
    <row r="532" spans="2:18" x14ac:dyDescent="0.2">
      <c r="B532" s="392"/>
      <c r="C532" s="564"/>
      <c r="D532" s="565"/>
      <c r="E532" s="566"/>
      <c r="F532" s="528"/>
      <c r="G532" s="566"/>
      <c r="H532" s="567"/>
      <c r="I532" s="392"/>
      <c r="J532" s="392"/>
      <c r="K532" s="25"/>
      <c r="L532" s="25"/>
      <c r="M532" s="25"/>
      <c r="N532" s="25"/>
      <c r="O532" s="25"/>
      <c r="P532" s="25"/>
      <c r="Q532" s="25"/>
      <c r="R532" s="25"/>
    </row>
    <row r="533" spans="2:18" x14ac:dyDescent="0.2">
      <c r="B533" s="392"/>
      <c r="C533" s="564"/>
      <c r="D533" s="565"/>
      <c r="E533" s="566"/>
      <c r="F533" s="528"/>
      <c r="G533" s="566"/>
      <c r="H533" s="567"/>
      <c r="I533" s="392"/>
      <c r="J533" s="392"/>
      <c r="K533" s="25"/>
      <c r="L533" s="25"/>
      <c r="M533" s="25"/>
      <c r="N533" s="25"/>
      <c r="O533" s="25"/>
      <c r="P533" s="25"/>
      <c r="Q533" s="25"/>
      <c r="R533" s="25"/>
    </row>
    <row r="534" spans="2:18" ht="23.25" customHeight="1" x14ac:dyDescent="0.25">
      <c r="B534" s="523" t="s">
        <v>881</v>
      </c>
      <c r="C534" s="568" t="s">
        <v>882</v>
      </c>
      <c r="D534" s="568" t="s">
        <v>883</v>
      </c>
      <c r="E534" s="568" t="s">
        <v>884</v>
      </c>
      <c r="F534" s="528"/>
      <c r="G534" s="566"/>
      <c r="H534" s="567"/>
      <c r="I534" s="392"/>
      <c r="J534" s="392"/>
      <c r="K534" s="25"/>
      <c r="L534" s="25"/>
      <c r="M534" s="25"/>
      <c r="N534" s="25"/>
      <c r="O534" s="25"/>
      <c r="P534" s="25"/>
      <c r="Q534" s="25"/>
      <c r="R534" s="25"/>
    </row>
    <row r="535" spans="2:18" ht="15" x14ac:dyDescent="0.25">
      <c r="B535" s="557" t="s">
        <v>885</v>
      </c>
      <c r="C535" s="569">
        <f>950000/19</f>
        <v>50000</v>
      </c>
      <c r="D535" s="558">
        <v>5</v>
      </c>
      <c r="E535" s="548">
        <f>C535*D535</f>
        <v>250000</v>
      </c>
      <c r="F535" s="528"/>
      <c r="G535" s="566"/>
      <c r="H535" s="567"/>
      <c r="I535" s="392"/>
      <c r="J535" s="392"/>
      <c r="K535" s="25"/>
      <c r="L535" s="25"/>
      <c r="M535" s="25"/>
      <c r="N535" s="25"/>
      <c r="O535" s="25"/>
      <c r="P535" s="25"/>
      <c r="Q535" s="25"/>
      <c r="R535" s="25"/>
    </row>
    <row r="536" spans="2:18" ht="15" x14ac:dyDescent="0.25">
      <c r="B536" s="557" t="s">
        <v>886</v>
      </c>
      <c r="C536" s="548">
        <v>100000</v>
      </c>
      <c r="D536" s="103"/>
      <c r="E536" s="103"/>
      <c r="F536" s="528"/>
      <c r="G536" s="566"/>
      <c r="H536" s="567"/>
      <c r="I536" s="392"/>
      <c r="J536" s="392"/>
      <c r="K536" s="25"/>
      <c r="L536" s="25"/>
      <c r="M536" s="25"/>
      <c r="N536" s="25"/>
      <c r="O536" s="25"/>
      <c r="P536" s="25"/>
      <c r="Q536" s="25"/>
      <c r="R536" s="25"/>
    </row>
    <row r="537" spans="2:18" s="103" customFormat="1" ht="19.5" customHeight="1" x14ac:dyDescent="0.25">
      <c r="B537" s="533" t="s">
        <v>887</v>
      </c>
      <c r="C537" s="535">
        <f>+E535*C536</f>
        <v>25000000000</v>
      </c>
    </row>
    <row r="538" spans="2:18" s="103" customFormat="1" ht="19.5" customHeight="1" x14ac:dyDescent="0.2">
      <c r="F538" s="102"/>
      <c r="G538" s="102"/>
      <c r="H538" s="102"/>
      <c r="I538" s="102"/>
      <c r="J538" s="102"/>
      <c r="K538" s="102"/>
      <c r="L538" s="102"/>
      <c r="M538" s="102"/>
      <c r="N538" s="102"/>
    </row>
    <row r="539" spans="2:18" s="103" customFormat="1" ht="19.5" customHeight="1" x14ac:dyDescent="0.25">
      <c r="B539" s="523" t="s">
        <v>888</v>
      </c>
    </row>
    <row r="540" spans="2:18" s="103" customFormat="1" ht="19.5" customHeight="1" x14ac:dyDescent="0.25">
      <c r="B540" s="523" t="s">
        <v>889</v>
      </c>
      <c r="C540" s="523" t="s">
        <v>890</v>
      </c>
      <c r="D540" s="523" t="s">
        <v>891</v>
      </c>
    </row>
    <row r="541" spans="2:18" s="103" customFormat="1" ht="15" x14ac:dyDescent="0.25">
      <c r="B541" s="481">
        <v>50000</v>
      </c>
      <c r="C541" s="49">
        <v>400</v>
      </c>
      <c r="D541" s="570">
        <f>B541/C541</f>
        <v>125</v>
      </c>
    </row>
    <row r="542" spans="2:18" s="103" customFormat="1" x14ac:dyDescent="0.2">
      <c r="B542" s="571"/>
    </row>
    <row r="543" spans="2:18" ht="15" x14ac:dyDescent="0.25">
      <c r="B543" s="523" t="s">
        <v>892</v>
      </c>
      <c r="C543" s="523" t="s">
        <v>55</v>
      </c>
      <c r="D543"/>
      <c r="E543"/>
      <c r="F543"/>
      <c r="G543"/>
      <c r="H543"/>
      <c r="I543"/>
      <c r="J543" s="543"/>
    </row>
    <row r="544" spans="2:18" ht="15" x14ac:dyDescent="0.25">
      <c r="B544" s="104" t="s">
        <v>893</v>
      </c>
      <c r="C544" s="535">
        <v>420000000</v>
      </c>
      <c r="D544"/>
      <c r="E544"/>
      <c r="F544"/>
      <c r="G544"/>
      <c r="H544"/>
      <c r="I544"/>
      <c r="J544" s="543"/>
    </row>
    <row r="545" spans="2:18" ht="15" x14ac:dyDescent="0.25">
      <c r="B545" s="104" t="s">
        <v>894</v>
      </c>
      <c r="C545" s="535">
        <v>455000000</v>
      </c>
      <c r="D545"/>
      <c r="E545"/>
      <c r="F545"/>
      <c r="G545"/>
      <c r="H545"/>
      <c r="I545"/>
      <c r="J545" s="543"/>
    </row>
    <row r="546" spans="2:18" ht="15" x14ac:dyDescent="0.25">
      <c r="B546" s="104" t="s">
        <v>895</v>
      </c>
      <c r="C546" s="535">
        <v>100000000</v>
      </c>
      <c r="D546"/>
      <c r="E546"/>
      <c r="F546"/>
      <c r="G546"/>
      <c r="H546"/>
      <c r="I546"/>
      <c r="J546" s="543"/>
    </row>
    <row r="547" spans="2:18" ht="15" x14ac:dyDescent="0.25">
      <c r="B547" s="104" t="s">
        <v>896</v>
      </c>
      <c r="C547" s="535">
        <v>189150000</v>
      </c>
      <c r="D547"/>
      <c r="E547"/>
      <c r="F547"/>
      <c r="G547"/>
      <c r="H547"/>
      <c r="I547"/>
      <c r="J547" s="543"/>
    </row>
    <row r="548" spans="2:18" ht="15" x14ac:dyDescent="0.25">
      <c r="B548" s="104" t="s">
        <v>897</v>
      </c>
      <c r="C548" s="535">
        <v>204100000</v>
      </c>
      <c r="D548"/>
      <c r="E548"/>
      <c r="F548"/>
      <c r="G548"/>
      <c r="H548"/>
      <c r="I548"/>
      <c r="J548" s="543"/>
    </row>
    <row r="549" spans="2:18" ht="15" x14ac:dyDescent="0.25">
      <c r="B549" s="104" t="s">
        <v>898</v>
      </c>
      <c r="C549" s="535">
        <v>1011400000</v>
      </c>
      <c r="D549"/>
      <c r="E549"/>
      <c r="F549"/>
      <c r="G549"/>
      <c r="H549"/>
      <c r="I549"/>
      <c r="J549" s="543"/>
    </row>
    <row r="550" spans="2:18" ht="15" x14ac:dyDescent="0.25">
      <c r="B550" s="104" t="s">
        <v>899</v>
      </c>
      <c r="C550" s="535">
        <v>139100000</v>
      </c>
      <c r="D550"/>
      <c r="E550"/>
      <c r="F550"/>
      <c r="G550"/>
      <c r="H550"/>
      <c r="I550"/>
      <c r="J550" s="543"/>
    </row>
    <row r="551" spans="2:18" ht="15" x14ac:dyDescent="0.25">
      <c r="B551" s="104" t="s">
        <v>900</v>
      </c>
      <c r="C551" s="535">
        <v>52000000</v>
      </c>
      <c r="D551"/>
      <c r="E551" s="543"/>
      <c r="F551" s="543"/>
      <c r="G551" s="543"/>
      <c r="H551" s="543"/>
      <c r="I551" s="543"/>
      <c r="J551" s="543"/>
    </row>
    <row r="552" spans="2:18" ht="15" x14ac:dyDescent="0.25">
      <c r="B552" s="533" t="s">
        <v>901</v>
      </c>
      <c r="C552" s="570">
        <f>SUM(C544:C551)</f>
        <v>2570750000</v>
      </c>
      <c r="D552"/>
      <c r="E552" s="543"/>
      <c r="F552" s="543"/>
      <c r="G552" s="543"/>
      <c r="H552" s="543"/>
      <c r="I552" s="543"/>
      <c r="J552" s="543"/>
    </row>
    <row r="553" spans="2:18" ht="15" x14ac:dyDescent="0.25">
      <c r="B553" t="s">
        <v>902</v>
      </c>
      <c r="C553"/>
      <c r="D553"/>
      <c r="E553" s="543"/>
      <c r="F553" s="543"/>
      <c r="G553" s="543"/>
      <c r="H553" s="543"/>
      <c r="I553" s="543"/>
      <c r="J553" s="543"/>
    </row>
    <row r="554" spans="2:18" s="103" customFormat="1" ht="12.95" customHeight="1" x14ac:dyDescent="0.2">
      <c r="B554" s="572"/>
    </row>
    <row r="555" spans="2:18" x14ac:dyDescent="0.2">
      <c r="C555" s="573"/>
      <c r="E555" s="566"/>
      <c r="F555" s="528"/>
      <c r="G555" s="566"/>
      <c r="H555" s="567"/>
      <c r="I555" s="392"/>
      <c r="J555" s="392"/>
      <c r="K555" s="25"/>
      <c r="L555" s="25"/>
      <c r="M555" s="25"/>
      <c r="N555" s="25"/>
      <c r="O555" s="25"/>
      <c r="P555" s="25"/>
      <c r="Q555" s="25"/>
      <c r="R555" s="25"/>
    </row>
    <row r="556" spans="2:18" ht="15" x14ac:dyDescent="0.25">
      <c r="B556" s="500" t="s">
        <v>903</v>
      </c>
      <c r="C556" s="564"/>
      <c r="F556" s="528"/>
      <c r="G556" s="566"/>
      <c r="H556" s="567"/>
      <c r="I556" s="392"/>
      <c r="J556" s="392"/>
      <c r="K556" s="25"/>
      <c r="L556" s="25"/>
      <c r="M556" s="25"/>
      <c r="N556" s="25"/>
      <c r="O556" s="25"/>
      <c r="P556" s="25"/>
      <c r="Q556" s="25"/>
      <c r="R556" s="25"/>
    </row>
    <row r="557" spans="2:18" x14ac:dyDescent="0.2">
      <c r="B557" s="557" t="s">
        <v>904</v>
      </c>
      <c r="C557" s="574">
        <v>1000000</v>
      </c>
      <c r="F557" s="528"/>
      <c r="G557" s="566"/>
      <c r="H557" s="567"/>
      <c r="I557" s="392"/>
      <c r="J557" s="392"/>
      <c r="K557" s="25"/>
      <c r="L557" s="25"/>
      <c r="M557" s="25"/>
      <c r="N557" s="25"/>
      <c r="O557" s="25"/>
      <c r="P557" s="25"/>
      <c r="Q557" s="25"/>
      <c r="R557" s="25"/>
    </row>
    <row r="558" spans="2:18" x14ac:dyDescent="0.2">
      <c r="B558" s="104" t="s">
        <v>905</v>
      </c>
      <c r="C558" s="558">
        <v>500</v>
      </c>
      <c r="F558" s="528"/>
      <c r="G558" s="566"/>
      <c r="H558" s="567"/>
      <c r="I558" s="392"/>
      <c r="J558" s="392"/>
      <c r="K558" s="25"/>
      <c r="L558" s="25"/>
      <c r="M558" s="25"/>
      <c r="N558" s="25"/>
      <c r="O558" s="25"/>
      <c r="P558" s="25"/>
      <c r="Q558" s="25"/>
      <c r="R558" s="25"/>
    </row>
    <row r="559" spans="2:18" ht="15" x14ac:dyDescent="0.25">
      <c r="B559" s="557" t="s">
        <v>906</v>
      </c>
      <c r="C559" s="570">
        <f>C557*C558</f>
        <v>500000000</v>
      </c>
      <c r="F559" s="528"/>
      <c r="G559" s="566"/>
      <c r="H559" s="567"/>
      <c r="I559" s="392"/>
      <c r="J559" s="392"/>
      <c r="K559" s="25"/>
      <c r="L559" s="25"/>
      <c r="M559" s="25"/>
      <c r="N559" s="25"/>
      <c r="O559" s="25"/>
      <c r="P559" s="25"/>
      <c r="Q559" s="25"/>
      <c r="R559" s="25"/>
    </row>
    <row r="560" spans="2:18" x14ac:dyDescent="0.2">
      <c r="B560" s="557" t="s">
        <v>907</v>
      </c>
      <c r="C560" s="575">
        <v>10</v>
      </c>
      <c r="D560" s="392"/>
      <c r="E560" s="576"/>
      <c r="F560" s="528"/>
      <c r="G560" s="566"/>
      <c r="H560" s="567"/>
      <c r="I560" s="392"/>
      <c r="J560" s="392"/>
      <c r="K560" s="25"/>
      <c r="L560" s="25"/>
      <c r="M560" s="25"/>
      <c r="N560" s="25"/>
      <c r="O560" s="25"/>
      <c r="P560" s="25"/>
      <c r="Q560" s="25"/>
      <c r="R560" s="25"/>
    </row>
    <row r="561" spans="2:18" x14ac:dyDescent="0.2">
      <c r="C561" s="538"/>
      <c r="D561" s="566"/>
      <c r="E561" s="566"/>
      <c r="F561" s="528"/>
      <c r="G561" s="566"/>
      <c r="H561" s="567"/>
      <c r="I561" s="392"/>
      <c r="J561" s="392"/>
      <c r="K561" s="25"/>
      <c r="L561" s="25"/>
      <c r="M561" s="25"/>
      <c r="N561" s="25"/>
      <c r="O561" s="25"/>
      <c r="P561" s="25"/>
      <c r="Q561" s="25"/>
      <c r="R561" s="25"/>
    </row>
    <row r="562" spans="2:18" x14ac:dyDescent="0.2">
      <c r="B562" s="572"/>
      <c r="C562" s="564"/>
      <c r="D562" s="565"/>
      <c r="E562" s="566"/>
      <c r="F562" s="528"/>
      <c r="G562" s="566"/>
      <c r="H562" s="567"/>
      <c r="I562" s="392"/>
      <c r="J562" s="392"/>
      <c r="K562" s="25"/>
      <c r="L562" s="25"/>
      <c r="M562" s="25"/>
      <c r="N562" s="25"/>
      <c r="O562" s="25"/>
      <c r="P562" s="25"/>
      <c r="Q562" s="25"/>
      <c r="R562" s="25"/>
    </row>
    <row r="563" spans="2:18" ht="15" x14ac:dyDescent="0.25">
      <c r="B563" s="577" t="s">
        <v>908</v>
      </c>
      <c r="C563" s="564"/>
      <c r="D563" s="565"/>
      <c r="E563" s="566"/>
      <c r="F563" s="528"/>
      <c r="G563" s="566"/>
      <c r="H563" s="567"/>
      <c r="I563" s="392"/>
      <c r="J563" s="392"/>
      <c r="K563" s="25"/>
      <c r="L563" s="25"/>
      <c r="M563" s="25"/>
      <c r="N563" s="25"/>
      <c r="O563" s="25"/>
      <c r="P563" s="25"/>
      <c r="Q563" s="25"/>
      <c r="R563" s="25"/>
    </row>
    <row r="564" spans="2:18" x14ac:dyDescent="0.2">
      <c r="B564" s="578" t="s">
        <v>909</v>
      </c>
      <c r="C564" s="558">
        <v>3000000</v>
      </c>
      <c r="D564" s="565"/>
      <c r="E564" s="566"/>
      <c r="F564" s="528"/>
      <c r="G564" s="566"/>
      <c r="H564" s="567"/>
      <c r="I564" s="392"/>
      <c r="J564" s="392"/>
      <c r="K564" s="25"/>
      <c r="L564" s="25"/>
      <c r="M564" s="25"/>
      <c r="N564" s="25"/>
      <c r="O564" s="25"/>
      <c r="P564" s="25"/>
      <c r="Q564" s="25"/>
      <c r="R564" s="25"/>
    </row>
    <row r="565" spans="2:18" x14ac:dyDescent="0.2">
      <c r="B565" s="578" t="s">
        <v>910</v>
      </c>
      <c r="C565" s="558">
        <v>19</v>
      </c>
      <c r="D565" s="565"/>
      <c r="E565" s="566"/>
      <c r="F565" s="528"/>
      <c r="G565" s="566"/>
      <c r="H565" s="567"/>
      <c r="I565" s="392"/>
      <c r="J565" s="392"/>
      <c r="K565" s="25"/>
      <c r="L565" s="25"/>
      <c r="M565" s="25"/>
      <c r="N565" s="25"/>
      <c r="O565" s="25"/>
      <c r="P565" s="25"/>
      <c r="Q565" s="25"/>
      <c r="R565" s="25"/>
    </row>
    <row r="566" spans="2:18" ht="15" x14ac:dyDescent="0.25">
      <c r="B566" s="500" t="s">
        <v>911</v>
      </c>
      <c r="C566" s="579">
        <f>C564/19</f>
        <v>157894.73684210525</v>
      </c>
      <c r="D566" s="565"/>
      <c r="E566" s="566"/>
      <c r="F566" s="528"/>
      <c r="G566" s="566"/>
      <c r="H566" s="567"/>
      <c r="I566" s="392"/>
      <c r="J566" s="392"/>
      <c r="K566" s="25"/>
      <c r="L566" s="25"/>
      <c r="M566" s="25"/>
      <c r="N566" s="25"/>
      <c r="O566" s="25"/>
      <c r="P566" s="25"/>
      <c r="Q566" s="25"/>
      <c r="R566" s="25"/>
    </row>
    <row r="567" spans="2:18" x14ac:dyDescent="0.2">
      <c r="B567" s="68" t="s">
        <v>912</v>
      </c>
      <c r="C567" s="580"/>
      <c r="D567" s="565"/>
      <c r="E567" s="566"/>
      <c r="F567" s="528"/>
      <c r="G567" s="566"/>
      <c r="H567" s="567"/>
      <c r="I567" s="392"/>
      <c r="J567" s="392"/>
      <c r="K567" s="25"/>
      <c r="L567" s="25"/>
      <c r="M567" s="25"/>
      <c r="N567" s="25"/>
      <c r="O567" s="25"/>
      <c r="P567" s="25"/>
      <c r="Q567" s="25"/>
      <c r="R567" s="25"/>
    </row>
    <row r="568" spans="2:18" customFormat="1" ht="15" x14ac:dyDescent="0.25"/>
    <row r="569" spans="2:18" customFormat="1" ht="45" x14ac:dyDescent="0.25">
      <c r="B569" s="581" t="s">
        <v>913</v>
      </c>
      <c r="C569" s="582" t="s">
        <v>914</v>
      </c>
      <c r="D569" s="582" t="s">
        <v>915</v>
      </c>
      <c r="E569" s="582" t="s">
        <v>916</v>
      </c>
      <c r="F569" s="582" t="s">
        <v>917</v>
      </c>
      <c r="G569" s="582" t="s">
        <v>918</v>
      </c>
      <c r="H569" s="582" t="s">
        <v>919</v>
      </c>
      <c r="I569" s="582" t="s">
        <v>920</v>
      </c>
      <c r="J569" s="582" t="s">
        <v>921</v>
      </c>
      <c r="K569" s="582" t="s">
        <v>922</v>
      </c>
      <c r="L569" s="582" t="s">
        <v>923</v>
      </c>
      <c r="M569" s="582" t="s">
        <v>924</v>
      </c>
      <c r="N569" s="583">
        <f>C566</f>
        <v>157894.73684210525</v>
      </c>
      <c r="O569" s="582" t="s">
        <v>925</v>
      </c>
    </row>
    <row r="570" spans="2:18" s="590" customFormat="1" ht="15" x14ac:dyDescent="0.2">
      <c r="B570" s="578" t="s">
        <v>926</v>
      </c>
      <c r="C570" s="558">
        <v>1000</v>
      </c>
      <c r="D570" s="558">
        <v>3</v>
      </c>
      <c r="E570" s="558">
        <v>330</v>
      </c>
      <c r="F570" s="558">
        <v>35</v>
      </c>
      <c r="G570" s="584">
        <v>0.3</v>
      </c>
      <c r="H570" s="585">
        <v>7.5</v>
      </c>
      <c r="I570" s="586">
        <f>(+C570/G570)/H570</f>
        <v>444.44444444444446</v>
      </c>
      <c r="J570" s="586">
        <f>I570*H570</f>
        <v>3333.3333333333335</v>
      </c>
      <c r="K570" s="587">
        <f>C582</f>
        <v>973962.3</v>
      </c>
      <c r="L570" s="588">
        <f>K570/C570</f>
        <v>973.96230000000003</v>
      </c>
      <c r="M570" s="586">
        <f>L570*$C$281</f>
        <v>3621410.9729175004</v>
      </c>
      <c r="N570" s="589">
        <v>0.1</v>
      </c>
      <c r="O570" s="188">
        <f>$N$569*N570</f>
        <v>15789.473684210527</v>
      </c>
    </row>
    <row r="571" spans="2:18" s="590" customFormat="1" ht="15" x14ac:dyDescent="0.2">
      <c r="B571" s="578" t="s">
        <v>927</v>
      </c>
      <c r="C571" s="558">
        <v>3000</v>
      </c>
      <c r="D571" s="558">
        <v>5</v>
      </c>
      <c r="E571" s="558">
        <v>600</v>
      </c>
      <c r="F571" s="558">
        <v>100</v>
      </c>
      <c r="G571" s="584">
        <v>0.3</v>
      </c>
      <c r="H571" s="585">
        <v>7.5</v>
      </c>
      <c r="I571" s="586">
        <f>(+C571/G571)/H571</f>
        <v>1333.3333333333333</v>
      </c>
      <c r="J571" s="586">
        <f>I571*H571</f>
        <v>10000</v>
      </c>
      <c r="K571" s="587">
        <f>D582</f>
        <v>2229332.2466666666</v>
      </c>
      <c r="L571" s="588">
        <f t="shared" ref="L571:L573" si="4">K571/C571</f>
        <v>743.11074888888891</v>
      </c>
      <c r="M571" s="586">
        <f>L571*$C$281</f>
        <v>2763052.9642873891</v>
      </c>
      <c r="N571" s="589">
        <v>0.4</v>
      </c>
      <c r="O571" s="188">
        <f t="shared" ref="O571:O573" si="5">$N$569*N571</f>
        <v>63157.894736842107</v>
      </c>
    </row>
    <row r="572" spans="2:18" s="590" customFormat="1" ht="15" x14ac:dyDescent="0.2">
      <c r="B572" s="578" t="s">
        <v>928</v>
      </c>
      <c r="C572" s="558">
        <v>9000</v>
      </c>
      <c r="D572" s="558">
        <v>3</v>
      </c>
      <c r="E572" s="558">
        <v>3000</v>
      </c>
      <c r="F572" s="558">
        <v>300</v>
      </c>
      <c r="G572" s="584">
        <v>0.3</v>
      </c>
      <c r="H572" s="585">
        <v>7.5</v>
      </c>
      <c r="I572" s="586">
        <f>(+C572/G572)/H572</f>
        <v>4000</v>
      </c>
      <c r="J572" s="586">
        <f>I572*H572</f>
        <v>30000</v>
      </c>
      <c r="K572" s="587">
        <f>E582</f>
        <v>5393129.5819364265</v>
      </c>
      <c r="L572" s="588">
        <f t="shared" si="4"/>
        <v>599.2366202151585</v>
      </c>
      <c r="M572" s="586">
        <f>L572*$C$281</f>
        <v>2228096.5821995079</v>
      </c>
      <c r="N572" s="589">
        <v>0.3</v>
      </c>
      <c r="O572" s="188">
        <f t="shared" si="5"/>
        <v>47368.421052631573</v>
      </c>
    </row>
    <row r="573" spans="2:18" s="590" customFormat="1" ht="15" x14ac:dyDescent="0.2">
      <c r="B573" s="578" t="s">
        <v>929</v>
      </c>
      <c r="C573" s="558">
        <v>27000</v>
      </c>
      <c r="D573" s="558">
        <v>6</v>
      </c>
      <c r="E573" s="558">
        <v>4500</v>
      </c>
      <c r="F573" s="558">
        <v>600</v>
      </c>
      <c r="G573" s="584">
        <v>0.3</v>
      </c>
      <c r="H573" s="585">
        <v>7.5</v>
      </c>
      <c r="I573" s="586">
        <f>(+C573/G573)/H573</f>
        <v>12000</v>
      </c>
      <c r="J573" s="586">
        <f>I573*H573</f>
        <v>90000</v>
      </c>
      <c r="K573" s="587">
        <f>F582</f>
        <v>9837397.2125342749</v>
      </c>
      <c r="L573" s="588">
        <f t="shared" si="4"/>
        <v>364.34804490867685</v>
      </c>
      <c r="M573" s="586">
        <f>L573*$C$281</f>
        <v>1354728.0092805652</v>
      </c>
      <c r="N573" s="589">
        <v>0.2</v>
      </c>
      <c r="O573" s="188">
        <f t="shared" si="5"/>
        <v>31578.947368421053</v>
      </c>
      <c r="P573" s="591"/>
    </row>
    <row r="574" spans="2:18" s="590" customFormat="1" ht="15" x14ac:dyDescent="0.25">
      <c r="B574" s="592"/>
      <c r="C574" s="564"/>
      <c r="D574" s="564"/>
      <c r="E574" s="564"/>
      <c r="F574" s="564"/>
      <c r="G574" s="593"/>
      <c r="H574" s="594"/>
      <c r="I574" s="595"/>
      <c r="J574" s="596"/>
      <c r="K574" s="596"/>
      <c r="L574" s="596"/>
      <c r="M574"/>
      <c r="P574" s="591"/>
    </row>
    <row r="575" spans="2:18" s="590" customFormat="1" ht="30" x14ac:dyDescent="0.25">
      <c r="B575" s="581" t="s">
        <v>930</v>
      </c>
      <c r="C575" s="582" t="s">
        <v>931</v>
      </c>
      <c r="D575" s="582" t="s">
        <v>932</v>
      </c>
      <c r="E575" s="582" t="s">
        <v>933</v>
      </c>
      <c r="F575" s="582" t="s">
        <v>934</v>
      </c>
      <c r="G575" s="593"/>
      <c r="H575" s="594"/>
      <c r="I575" s="595"/>
      <c r="J575" s="596"/>
      <c r="K575" s="596"/>
      <c r="L575" s="596"/>
      <c r="M575"/>
      <c r="P575" s="591"/>
    </row>
    <row r="576" spans="2:18" s="590" customFormat="1" ht="15" x14ac:dyDescent="0.2">
      <c r="B576" s="597" t="s">
        <v>935</v>
      </c>
      <c r="C576" s="558">
        <v>269187.33333333337</v>
      </c>
      <c r="D576" s="558">
        <v>838037.2888888889</v>
      </c>
      <c r="E576" s="558">
        <v>1331097.473058529</v>
      </c>
      <c r="F576" s="558">
        <v>2620770.4378746701</v>
      </c>
      <c r="G576" s="593"/>
      <c r="H576" s="594"/>
      <c r="I576" s="595"/>
      <c r="J576" s="596"/>
      <c r="K576" s="596"/>
      <c r="L576" s="596"/>
      <c r="P576" s="591"/>
    </row>
    <row r="577" spans="2:18" s="590" customFormat="1" ht="15" x14ac:dyDescent="0.2">
      <c r="B577" s="597" t="s">
        <v>936</v>
      </c>
      <c r="C577" s="558">
        <v>234375</v>
      </c>
      <c r="D577" s="558">
        <v>312500</v>
      </c>
      <c r="E577" s="558">
        <v>1250000</v>
      </c>
      <c r="F577" s="558">
        <v>2187500</v>
      </c>
      <c r="G577" s="593"/>
      <c r="H577" s="594"/>
      <c r="I577" s="595"/>
      <c r="J577" s="596"/>
      <c r="K577" s="596"/>
      <c r="L577" s="596"/>
      <c r="P577" s="591"/>
    </row>
    <row r="578" spans="2:18" customFormat="1" ht="15" x14ac:dyDescent="0.25">
      <c r="B578" s="597" t="s">
        <v>937</v>
      </c>
      <c r="C578" s="558">
        <v>53837.466666666674</v>
      </c>
      <c r="D578" s="558">
        <v>167607.45777777777</v>
      </c>
      <c r="E578" s="558">
        <v>244355.02554456377</v>
      </c>
      <c r="F578" s="558">
        <v>369587.71215960418</v>
      </c>
      <c r="G578" s="596"/>
      <c r="H578" s="596"/>
      <c r="I578" s="596"/>
      <c r="J578" s="596"/>
      <c r="K578" s="596"/>
      <c r="L578" s="596"/>
      <c r="N578" s="598"/>
      <c r="O578" s="599"/>
    </row>
    <row r="579" spans="2:18" customFormat="1" ht="15" x14ac:dyDescent="0.25">
      <c r="B579" s="597" t="s">
        <v>938</v>
      </c>
      <c r="C579" s="558">
        <v>246250</v>
      </c>
      <c r="D579" s="558">
        <v>594000</v>
      </c>
      <c r="E579" s="558">
        <v>1487989.5833333335</v>
      </c>
      <c r="F579" s="558">
        <v>2551007.8125</v>
      </c>
      <c r="G579" s="596"/>
      <c r="H579" s="596"/>
      <c r="I579" s="596"/>
      <c r="J579" s="596"/>
      <c r="K579" s="596"/>
      <c r="L579" s="596"/>
    </row>
    <row r="580" spans="2:18" customFormat="1" ht="15" x14ac:dyDescent="0.25">
      <c r="B580" s="597" t="s">
        <v>939</v>
      </c>
      <c r="C580" s="558">
        <v>46875</v>
      </c>
      <c r="D580" s="558">
        <v>78125</v>
      </c>
      <c r="E580" s="558">
        <v>312500</v>
      </c>
      <c r="F580" s="558">
        <v>574218.75</v>
      </c>
      <c r="G580" s="596"/>
      <c r="H580" s="596"/>
      <c r="I580" s="596"/>
      <c r="J580" s="596"/>
      <c r="K580" s="596"/>
      <c r="L580" s="596"/>
      <c r="N580" s="598"/>
      <c r="O580" s="600"/>
    </row>
    <row r="581" spans="2:18" customFormat="1" ht="15" x14ac:dyDescent="0.25">
      <c r="B581" s="601" t="s">
        <v>778</v>
      </c>
      <c r="C581" s="558">
        <v>123437.5</v>
      </c>
      <c r="D581" s="558">
        <v>239062.5</v>
      </c>
      <c r="E581" s="558">
        <v>767187.5</v>
      </c>
      <c r="F581" s="558">
        <v>1534312.5</v>
      </c>
      <c r="G581" s="596"/>
      <c r="H581" s="596"/>
      <c r="I581" s="596"/>
      <c r="J581" s="596"/>
      <c r="K581" s="596"/>
      <c r="L581" s="596"/>
      <c r="N581" s="598"/>
      <c r="O581" s="599"/>
    </row>
    <row r="582" spans="2:18" customFormat="1" ht="15" x14ac:dyDescent="0.25">
      <c r="B582" s="581" t="s">
        <v>940</v>
      </c>
      <c r="C582" s="561">
        <f>SUM(C576:C581)</f>
        <v>973962.3</v>
      </c>
      <c r="D582" s="561">
        <f t="shared" ref="D582:F582" si="6">SUM(D576:D581)</f>
        <v>2229332.2466666666</v>
      </c>
      <c r="E582" s="561">
        <f t="shared" si="6"/>
        <v>5393129.5819364265</v>
      </c>
      <c r="F582" s="561">
        <f t="shared" si="6"/>
        <v>9837397.2125342749</v>
      </c>
      <c r="G582" s="596"/>
      <c r="H582" s="596"/>
      <c r="I582" s="596"/>
      <c r="J582" s="596"/>
      <c r="K582" s="596"/>
      <c r="L582" s="596"/>
    </row>
    <row r="583" spans="2:18" customFormat="1" ht="15" x14ac:dyDescent="0.25">
      <c r="N583" s="598"/>
      <c r="O583" s="600"/>
    </row>
    <row r="584" spans="2:18" ht="15" x14ac:dyDescent="0.25">
      <c r="B584" s="500" t="s">
        <v>941</v>
      </c>
      <c r="C584" s="25"/>
      <c r="D584" s="25"/>
      <c r="E584" s="25"/>
      <c r="F584" s="528"/>
      <c r="G584" s="25"/>
      <c r="H584" s="25"/>
      <c r="I584" s="392"/>
      <c r="J584" s="392"/>
      <c r="K584" s="25"/>
      <c r="L584" s="25"/>
      <c r="M584" s="25"/>
      <c r="N584" s="25"/>
      <c r="O584" s="25"/>
      <c r="P584" s="25"/>
      <c r="Q584" s="25"/>
      <c r="R584" s="25"/>
    </row>
    <row r="585" spans="2:18" x14ac:dyDescent="0.2">
      <c r="B585" s="554" t="s">
        <v>870</v>
      </c>
      <c r="C585" s="51">
        <f>C527</f>
        <v>38004</v>
      </c>
      <c r="D585" s="25"/>
      <c r="E585" s="25"/>
      <c r="F585" s="528"/>
      <c r="G585" s="25"/>
      <c r="H585" s="25"/>
      <c r="I585" s="392"/>
      <c r="J585" s="392"/>
      <c r="K585" s="25"/>
      <c r="L585" s="25"/>
      <c r="M585" s="25"/>
      <c r="N585" s="25"/>
      <c r="O585" s="25"/>
      <c r="P585" s="25"/>
      <c r="Q585" s="25"/>
      <c r="R585" s="25"/>
    </row>
    <row r="586" spans="2:18" ht="30" x14ac:dyDescent="0.2">
      <c r="B586" s="555" t="s">
        <v>871</v>
      </c>
      <c r="C586" s="582" t="s">
        <v>872</v>
      </c>
      <c r="D586" s="582" t="s">
        <v>873</v>
      </c>
      <c r="E586" s="582" t="s">
        <v>942</v>
      </c>
      <c r="F586" s="582" t="s">
        <v>943</v>
      </c>
      <c r="G586" s="582" t="s">
        <v>944</v>
      </c>
      <c r="H586" s="582" t="s">
        <v>877</v>
      </c>
      <c r="I586" s="392"/>
      <c r="J586" s="392"/>
      <c r="K586" s="25"/>
      <c r="L586" s="25"/>
      <c r="M586" s="25"/>
      <c r="N586" s="25"/>
      <c r="O586" s="25"/>
      <c r="P586" s="25"/>
      <c r="Q586" s="25"/>
      <c r="R586" s="25"/>
    </row>
    <row r="587" spans="2:18" x14ac:dyDescent="0.2">
      <c r="B587" s="557" t="s">
        <v>878</v>
      </c>
      <c r="C587" s="558">
        <v>23563</v>
      </c>
      <c r="D587" s="559">
        <f>C585*C587</f>
        <v>895488252</v>
      </c>
      <c r="E587" s="560">
        <v>0.1</v>
      </c>
      <c r="F587" s="51">
        <f>D587*E587</f>
        <v>89548825.200000003</v>
      </c>
      <c r="G587" s="560">
        <v>0.1</v>
      </c>
      <c r="H587" s="602">
        <f>F587*G587</f>
        <v>8954882.5200000014</v>
      </c>
      <c r="I587" s="392"/>
      <c r="J587" s="392"/>
      <c r="K587" s="25"/>
      <c r="L587" s="25"/>
      <c r="M587" s="25"/>
      <c r="N587" s="25"/>
      <c r="O587" s="25"/>
      <c r="P587" s="25"/>
      <c r="Q587" s="25"/>
      <c r="R587" s="25"/>
    </row>
    <row r="588" spans="2:18" x14ac:dyDescent="0.2">
      <c r="B588" s="562" t="s">
        <v>879</v>
      </c>
      <c r="C588" s="558">
        <v>204995</v>
      </c>
      <c r="D588" s="559">
        <f>C585*C588</f>
        <v>7790629980</v>
      </c>
      <c r="E588" s="560">
        <v>0.05</v>
      </c>
      <c r="F588" s="51">
        <f>D588*E588</f>
        <v>389531499</v>
      </c>
      <c r="G588" s="560">
        <v>0.05</v>
      </c>
      <c r="H588" s="563">
        <f>F588*G588</f>
        <v>19476574.949999999</v>
      </c>
      <c r="I588" s="392"/>
      <c r="J588" s="392"/>
      <c r="K588" s="25"/>
      <c r="L588" s="25"/>
      <c r="M588" s="25"/>
      <c r="N588" s="25"/>
      <c r="O588" s="25"/>
      <c r="P588" s="25"/>
      <c r="Q588" s="25"/>
      <c r="R588" s="25"/>
    </row>
    <row r="589" spans="2:18" x14ac:dyDescent="0.2">
      <c r="B589" s="557" t="s">
        <v>880</v>
      </c>
      <c r="C589" s="558">
        <v>1736565</v>
      </c>
      <c r="D589" s="559">
        <f>C585*C589</f>
        <v>65996416260</v>
      </c>
      <c r="E589" s="560">
        <v>0.03</v>
      </c>
      <c r="F589" s="51">
        <f>D589*E589</f>
        <v>1979892487.8</v>
      </c>
      <c r="G589" s="560">
        <v>0.02</v>
      </c>
      <c r="H589" s="563">
        <f>F589*G589</f>
        <v>39597849.755999997</v>
      </c>
      <c r="I589" s="392"/>
      <c r="J589" s="392"/>
      <c r="K589" s="25"/>
      <c r="L589" s="25"/>
      <c r="M589" s="25"/>
      <c r="N589" s="25"/>
      <c r="O589" s="25"/>
      <c r="P589" s="25"/>
      <c r="Q589" s="25"/>
      <c r="R589" s="25"/>
    </row>
    <row r="590" spans="2:18" x14ac:dyDescent="0.2">
      <c r="B590" s="392"/>
      <c r="C590" s="564"/>
      <c r="D590" s="565"/>
      <c r="E590" s="566"/>
      <c r="F590" s="528"/>
      <c r="G590" s="566"/>
      <c r="H590" s="567"/>
      <c r="I590" s="392"/>
      <c r="J590" s="392"/>
      <c r="K590" s="25"/>
      <c r="L590" s="25"/>
      <c r="M590" s="25"/>
      <c r="N590" s="25"/>
      <c r="O590" s="25"/>
      <c r="P590" s="25"/>
      <c r="Q590" s="25"/>
      <c r="R590" s="25"/>
    </row>
    <row r="591" spans="2:18" ht="15" x14ac:dyDescent="0.25">
      <c r="B591" s="577" t="s">
        <v>945</v>
      </c>
      <c r="C591" s="543"/>
      <c r="D591" s="543"/>
    </row>
    <row r="592" spans="2:18" x14ac:dyDescent="0.2">
      <c r="B592" s="55" t="s">
        <v>946</v>
      </c>
      <c r="C592" s="540">
        <v>50000</v>
      </c>
      <c r="D592" s="543"/>
    </row>
    <row r="593" spans="2:18" x14ac:dyDescent="0.2">
      <c r="B593" s="55" t="s">
        <v>947</v>
      </c>
      <c r="C593" s="547">
        <v>0.3</v>
      </c>
      <c r="D593" s="543"/>
    </row>
    <row r="594" spans="2:18" x14ac:dyDescent="0.2">
      <c r="B594" s="396" t="s">
        <v>948</v>
      </c>
      <c r="C594" s="540">
        <f>+C592*C593</f>
        <v>15000</v>
      </c>
      <c r="D594" s="543"/>
    </row>
    <row r="595" spans="2:18" ht="15" x14ac:dyDescent="0.2">
      <c r="B595" s="396" t="s">
        <v>949</v>
      </c>
      <c r="C595" s="603">
        <v>1500000</v>
      </c>
      <c r="D595" s="543"/>
    </row>
    <row r="596" spans="2:18" s="103" customFormat="1" ht="15" x14ac:dyDescent="0.25">
      <c r="B596" s="604"/>
      <c r="C596" s="605"/>
      <c r="D596" s="605"/>
      <c r="E596" s="605"/>
      <c r="F596" s="605"/>
      <c r="G596" s="605"/>
      <c r="H596" s="605"/>
      <c r="I596" s="605"/>
    </row>
    <row r="597" spans="2:18" ht="15" x14ac:dyDescent="0.25">
      <c r="B597" s="500" t="s">
        <v>950</v>
      </c>
      <c r="C597" s="25"/>
      <c r="D597" s="25"/>
      <c r="E597" s="25"/>
      <c r="F597" s="528"/>
      <c r="G597" s="25"/>
      <c r="H597" s="25"/>
    </row>
    <row r="598" spans="2:18" x14ac:dyDescent="0.2">
      <c r="B598" s="554" t="s">
        <v>870</v>
      </c>
      <c r="C598" s="51">
        <v>38004</v>
      </c>
      <c r="D598" s="25"/>
      <c r="E598" s="25"/>
      <c r="F598" s="528"/>
      <c r="G598" s="25"/>
      <c r="H598" s="25"/>
    </row>
    <row r="599" spans="2:18" ht="45" x14ac:dyDescent="0.2">
      <c r="B599" s="606" t="s">
        <v>871</v>
      </c>
      <c r="C599" s="607" t="s">
        <v>872</v>
      </c>
      <c r="D599" s="607" t="s">
        <v>873</v>
      </c>
      <c r="E599" s="607" t="s">
        <v>951</v>
      </c>
      <c r="F599" s="607" t="s">
        <v>952</v>
      </c>
      <c r="G599" s="607" t="s">
        <v>953</v>
      </c>
      <c r="H599" s="607" t="s">
        <v>954</v>
      </c>
    </row>
    <row r="600" spans="2:18" ht="15" x14ac:dyDescent="0.2">
      <c r="B600" s="557" t="s">
        <v>878</v>
      </c>
      <c r="C600" s="558">
        <v>23563</v>
      </c>
      <c r="D600" s="559">
        <f>+C598*C600</f>
        <v>895488252</v>
      </c>
      <c r="E600" s="560">
        <v>0.03</v>
      </c>
      <c r="F600" s="51">
        <f>+D600*E600</f>
        <v>26864647.559999999</v>
      </c>
      <c r="G600" s="560">
        <v>0.4</v>
      </c>
      <c r="H600" s="603">
        <f>F600*G600</f>
        <v>10745859.024</v>
      </c>
    </row>
    <row r="601" spans="2:18" ht="15" x14ac:dyDescent="0.2">
      <c r="B601" s="562" t="s">
        <v>879</v>
      </c>
      <c r="C601" s="558">
        <v>204995</v>
      </c>
      <c r="D601" s="559">
        <f>+C598*C601</f>
        <v>7790629980</v>
      </c>
      <c r="E601" s="560">
        <v>0.02</v>
      </c>
      <c r="F601" s="51">
        <f>+D601*E601</f>
        <v>155812599.59999999</v>
      </c>
      <c r="G601" s="560">
        <v>0.25</v>
      </c>
      <c r="H601" s="603">
        <f>F601*G601</f>
        <v>38953149.899999999</v>
      </c>
    </row>
    <row r="602" spans="2:18" ht="15" x14ac:dyDescent="0.2">
      <c r="B602" s="557" t="s">
        <v>880</v>
      </c>
      <c r="C602" s="558">
        <v>1736565</v>
      </c>
      <c r="D602" s="559">
        <f>+C598*C602</f>
        <v>65996416260</v>
      </c>
      <c r="E602" s="608">
        <v>5.0000000000000001E-3</v>
      </c>
      <c r="F602" s="51">
        <f>+D602*E602</f>
        <v>329982081.30000001</v>
      </c>
      <c r="G602" s="560">
        <v>0.2</v>
      </c>
      <c r="H602" s="603">
        <f>F602*G602</f>
        <v>65996416.260000005</v>
      </c>
    </row>
    <row r="604" spans="2:18" x14ac:dyDescent="0.2">
      <c r="B604" s="543"/>
      <c r="C604" s="543"/>
      <c r="D604" s="543"/>
      <c r="E604" s="543"/>
      <c r="F604" s="543"/>
      <c r="G604" s="543"/>
      <c r="H604" s="543"/>
      <c r="I604" s="543"/>
      <c r="J604" s="543"/>
      <c r="K604" s="543"/>
      <c r="L604" s="543"/>
      <c r="M604" s="543"/>
      <c r="N604" s="543"/>
      <c r="O604" s="543"/>
      <c r="P604" s="543"/>
      <c r="Q604" s="543"/>
      <c r="R604" s="543"/>
    </row>
    <row r="605" spans="2:18" ht="15" x14ac:dyDescent="0.25">
      <c r="B605" s="609" t="s">
        <v>955</v>
      </c>
      <c r="C605" s="610"/>
      <c r="D605" s="543"/>
      <c r="E605" s="543"/>
      <c r="F605" s="543"/>
      <c r="G605" s="543"/>
      <c r="H605" s="543"/>
      <c r="I605" s="543"/>
      <c r="J605" s="543"/>
    </row>
    <row r="606" spans="2:18" x14ac:dyDescent="0.2">
      <c r="B606" s="610" t="s">
        <v>956</v>
      </c>
      <c r="C606" s="52">
        <v>70000000</v>
      </c>
      <c r="D606" s="543"/>
      <c r="E606" s="543"/>
      <c r="F606" s="543"/>
      <c r="G606" s="543"/>
      <c r="H606" s="543"/>
      <c r="I606" s="543"/>
      <c r="J606" s="543"/>
    </row>
    <row r="607" spans="2:18" x14ac:dyDescent="0.2">
      <c r="B607" s="610" t="s">
        <v>957</v>
      </c>
      <c r="C607" s="610">
        <v>30</v>
      </c>
      <c r="D607" s="543"/>
      <c r="E607" s="543"/>
      <c r="F607" s="543"/>
      <c r="G607" s="543"/>
      <c r="H607" s="543"/>
      <c r="I607" s="543"/>
      <c r="J607" s="543"/>
    </row>
    <row r="608" spans="2:18" ht="15" x14ac:dyDescent="0.2">
      <c r="B608" s="610" t="s">
        <v>958</v>
      </c>
      <c r="C608" s="603">
        <f>C606*30%</f>
        <v>21000000</v>
      </c>
      <c r="D608" s="543"/>
      <c r="E608" s="543"/>
      <c r="F608" s="543"/>
      <c r="G608" s="543"/>
      <c r="H608" s="543"/>
      <c r="I608" s="543"/>
      <c r="J608" s="543"/>
    </row>
    <row r="609" spans="2:10" x14ac:dyDescent="0.2">
      <c r="B609" s="543"/>
      <c r="C609" s="543"/>
      <c r="D609" s="543"/>
      <c r="E609" s="543"/>
      <c r="F609" s="543"/>
      <c r="G609" s="543"/>
      <c r="H609" s="543"/>
      <c r="I609" s="543"/>
      <c r="J609" s="543"/>
    </row>
    <row r="610" spans="2:10" ht="15" x14ac:dyDescent="0.25">
      <c r="B610" s="609" t="s">
        <v>959</v>
      </c>
      <c r="C610" s="611">
        <v>50000</v>
      </c>
      <c r="D610" s="543"/>
      <c r="E610" s="543"/>
      <c r="F610" s="543"/>
      <c r="G610" s="543"/>
      <c r="H610" s="543"/>
      <c r="I610" s="543"/>
      <c r="J610" s="543"/>
    </row>
    <row r="611" spans="2:10" ht="15" x14ac:dyDescent="0.2">
      <c r="B611" s="610" t="s">
        <v>960</v>
      </c>
      <c r="C611" s="603">
        <f>C610*50%</f>
        <v>25000</v>
      </c>
      <c r="D611" s="543"/>
      <c r="E611" s="543"/>
      <c r="F611" s="543"/>
      <c r="G611" s="543"/>
      <c r="H611" s="543"/>
      <c r="I611" s="543"/>
      <c r="J611" s="543"/>
    </row>
    <row r="612" spans="2:10" x14ac:dyDescent="0.2">
      <c r="B612" s="543"/>
      <c r="C612" s="543"/>
      <c r="D612" s="543"/>
      <c r="E612" s="543"/>
      <c r="F612" s="543"/>
      <c r="G612" s="543"/>
      <c r="H612" s="543"/>
      <c r="I612" s="543"/>
      <c r="J612" s="543"/>
    </row>
    <row r="613" spans="2:10" s="103" customFormat="1" ht="15" x14ac:dyDescent="0.25">
      <c r="B613" s="50"/>
      <c r="D613" s="612"/>
    </row>
    <row r="614" spans="2:10" ht="15" x14ac:dyDescent="0.25">
      <c r="B614" s="609" t="s">
        <v>961</v>
      </c>
      <c r="C614" s="543"/>
      <c r="D614" s="543"/>
      <c r="E614" s="543"/>
      <c r="F614" s="543"/>
      <c r="G614" s="543"/>
      <c r="H614" s="543"/>
      <c r="I614" s="543"/>
      <c r="J614" s="543"/>
    </row>
    <row r="615" spans="2:10" ht="15" x14ac:dyDescent="0.2">
      <c r="B615" s="610" t="s">
        <v>962</v>
      </c>
      <c r="C615" s="603">
        <v>300000</v>
      </c>
      <c r="D615" s="543"/>
      <c r="E615" s="543"/>
      <c r="F615" s="543"/>
      <c r="G615" s="543"/>
      <c r="H615" s="543"/>
      <c r="I615" s="543"/>
      <c r="J615" s="543"/>
    </row>
    <row r="616" spans="2:10" x14ac:dyDescent="0.2">
      <c r="B616" s="613"/>
      <c r="C616" s="614"/>
      <c r="D616" s="543"/>
      <c r="E616" s="543"/>
      <c r="F616" s="543"/>
      <c r="G616" s="543"/>
      <c r="H616" s="543"/>
      <c r="I616" s="543"/>
      <c r="J616" s="543"/>
    </row>
    <row r="617" spans="2:10" ht="15" x14ac:dyDescent="0.25">
      <c r="B617" s="609" t="s">
        <v>963</v>
      </c>
      <c r="C617" s="615"/>
      <c r="D617" s="543"/>
      <c r="E617" s="543"/>
      <c r="F617" s="543"/>
      <c r="G617" s="543"/>
      <c r="H617" s="543"/>
      <c r="I617" s="543"/>
      <c r="J617" s="543"/>
    </row>
    <row r="618" spans="2:10" x14ac:dyDescent="0.2">
      <c r="B618" s="615" t="s">
        <v>964</v>
      </c>
      <c r="C618" s="616">
        <v>50000</v>
      </c>
      <c r="D618" s="543"/>
      <c r="E618" s="543"/>
      <c r="F618" s="543"/>
      <c r="G618" s="543"/>
      <c r="H618" s="543"/>
      <c r="I618" s="543"/>
      <c r="J618" s="543"/>
    </row>
    <row r="619" spans="2:10" ht="15" x14ac:dyDescent="0.2">
      <c r="B619" s="615" t="s">
        <v>964</v>
      </c>
      <c r="C619" s="603">
        <v>600000</v>
      </c>
      <c r="D619" s="543"/>
      <c r="E619" s="543"/>
      <c r="F619" s="543"/>
      <c r="G619" s="543"/>
      <c r="H619" s="543"/>
      <c r="I619" s="543"/>
      <c r="J619" s="543"/>
    </row>
    <row r="620" spans="2:10" x14ac:dyDescent="0.2">
      <c r="D620" s="543"/>
      <c r="E620" s="543"/>
      <c r="F620" s="543"/>
      <c r="G620" s="543"/>
      <c r="H620" s="543"/>
      <c r="I620" s="543"/>
      <c r="J620" s="543"/>
    </row>
    <row r="621" spans="2:10" ht="15" x14ac:dyDescent="0.25">
      <c r="B621" s="467" t="s">
        <v>965</v>
      </c>
      <c r="C621" s="467" t="s">
        <v>690</v>
      </c>
    </row>
    <row r="622" spans="2:10" x14ac:dyDescent="0.2">
      <c r="B622" s="481" t="s">
        <v>966</v>
      </c>
      <c r="C622" s="481">
        <f>100000+ (10000*20)</f>
        <v>300000</v>
      </c>
      <c r="D622" s="53"/>
    </row>
    <row r="623" spans="2:10" x14ac:dyDescent="0.2">
      <c r="B623" s="481" t="s">
        <v>967</v>
      </c>
      <c r="C623" s="481">
        <f>500000</f>
        <v>500000</v>
      </c>
      <c r="D623" s="53"/>
    </row>
    <row r="624" spans="2:10" x14ac:dyDescent="0.2">
      <c r="B624" s="104" t="s">
        <v>692</v>
      </c>
      <c r="C624" s="54">
        <f>150000*5</f>
        <v>750000</v>
      </c>
    </row>
    <row r="625" spans="1:10" x14ac:dyDescent="0.2">
      <c r="B625" s="104" t="s">
        <v>693</v>
      </c>
      <c r="C625" s="54">
        <f>30000*2</f>
        <v>60000</v>
      </c>
    </row>
    <row r="626" spans="1:10" ht="15" x14ac:dyDescent="0.25">
      <c r="B626" s="467" t="s">
        <v>33</v>
      </c>
      <c r="C626" s="483">
        <f>SUM(C622:C625)</f>
        <v>1610000</v>
      </c>
      <c r="D626" s="116"/>
    </row>
    <row r="627" spans="1:10" ht="15" x14ac:dyDescent="0.25">
      <c r="B627" s="617">
        <v>0.3</v>
      </c>
      <c r="C627" s="483">
        <f>C626*B627</f>
        <v>483000</v>
      </c>
      <c r="D627" s="116"/>
    </row>
    <row r="628" spans="1:10" x14ac:dyDescent="0.2">
      <c r="B628" s="116"/>
      <c r="C628" s="116"/>
      <c r="D628" s="116"/>
    </row>
    <row r="629" spans="1:10" x14ac:dyDescent="0.2">
      <c r="B629" s="543"/>
      <c r="C629" s="543"/>
      <c r="D629" s="543"/>
      <c r="E629" s="543"/>
      <c r="F629" s="543"/>
      <c r="G629" s="543"/>
      <c r="H629" s="543"/>
      <c r="I629" s="543"/>
      <c r="J629" s="543"/>
    </row>
    <row r="630" spans="1:10" ht="15" x14ac:dyDescent="0.25">
      <c r="B630" s="467" t="s">
        <v>968</v>
      </c>
      <c r="C630" s="618"/>
      <c r="D630" s="543"/>
      <c r="E630" s="543"/>
      <c r="F630" s="543"/>
      <c r="G630" s="543"/>
      <c r="H630" s="543"/>
      <c r="I630" s="543"/>
      <c r="J630" s="543"/>
    </row>
    <row r="631" spans="1:10" ht="15" x14ac:dyDescent="0.25">
      <c r="B631" s="467" t="s">
        <v>324</v>
      </c>
      <c r="C631" s="467" t="s">
        <v>969</v>
      </c>
      <c r="D631" s="543"/>
      <c r="E631" s="467" t="s">
        <v>970</v>
      </c>
      <c r="F631" s="467" t="s">
        <v>971</v>
      </c>
      <c r="G631" s="467" t="s">
        <v>972</v>
      </c>
      <c r="H631" s="543"/>
      <c r="I631" s="543"/>
      <c r="J631" s="543"/>
    </row>
    <row r="632" spans="1:10" ht="15" x14ac:dyDescent="0.25">
      <c r="A632" s="104"/>
      <c r="B632" s="467" t="s">
        <v>973</v>
      </c>
      <c r="C632" s="467">
        <v>3</v>
      </c>
      <c r="D632" s="467" t="s">
        <v>974</v>
      </c>
      <c r="E632" s="610">
        <v>300</v>
      </c>
      <c r="F632" s="619">
        <f>D23+C123</f>
        <v>4316384</v>
      </c>
      <c r="G632" s="610">
        <v>8</v>
      </c>
      <c r="H632" s="543"/>
      <c r="I632" s="543"/>
      <c r="J632" s="543"/>
    </row>
    <row r="633" spans="1:10" x14ac:dyDescent="0.2">
      <c r="A633" s="615">
        <v>1</v>
      </c>
      <c r="B633" s="620">
        <v>170000</v>
      </c>
      <c r="C633" s="620">
        <f>B633/2</f>
        <v>85000</v>
      </c>
      <c r="D633" s="55">
        <f>C633/3</f>
        <v>28333.333333333332</v>
      </c>
      <c r="E633" s="621">
        <f>D633/E$632</f>
        <v>94.444444444444443</v>
      </c>
      <c r="F633" s="621">
        <f>E633*F$632</f>
        <v>407658488.8888889</v>
      </c>
      <c r="G633" s="621">
        <f>F633*G$632</f>
        <v>3261267911.1111112</v>
      </c>
      <c r="H633" s="543"/>
      <c r="I633" s="543"/>
      <c r="J633" s="543"/>
    </row>
    <row r="634" spans="1:10" x14ac:dyDescent="0.2">
      <c r="A634" s="615">
        <v>2</v>
      </c>
      <c r="B634" s="55">
        <f xml:space="preserve"> B633-(B633*0.06)</f>
        <v>159800</v>
      </c>
      <c r="C634" s="620">
        <f t="shared" ref="C634:C652" si="7">B634/2</f>
        <v>79900</v>
      </c>
      <c r="D634" s="55">
        <f t="shared" ref="D634:D652" si="8">C634/3</f>
        <v>26633.333333333332</v>
      </c>
      <c r="E634" s="621">
        <f t="shared" ref="E634:E652" si="9">D634/E$632</f>
        <v>88.777777777777771</v>
      </c>
      <c r="F634" s="621">
        <f t="shared" ref="F634:G652" si="10">E634*F$632</f>
        <v>383198979.55555552</v>
      </c>
      <c r="G634" s="621">
        <f t="shared" si="10"/>
        <v>3065591836.4444442</v>
      </c>
      <c r="H634" s="543"/>
      <c r="I634" s="543"/>
      <c r="J634" s="543"/>
    </row>
    <row r="635" spans="1:10" x14ac:dyDescent="0.2">
      <c r="A635" s="615">
        <v>3</v>
      </c>
      <c r="B635" s="55">
        <f t="shared" ref="B635:B652" si="11" xml:space="preserve"> B634-(B634*0.06)</f>
        <v>150212</v>
      </c>
      <c r="C635" s="620">
        <f t="shared" si="7"/>
        <v>75106</v>
      </c>
      <c r="D635" s="55">
        <f t="shared" si="8"/>
        <v>25035.333333333332</v>
      </c>
      <c r="E635" s="621">
        <f t="shared" si="9"/>
        <v>83.451111111111103</v>
      </c>
      <c r="F635" s="621">
        <f t="shared" si="10"/>
        <v>360207040.78222221</v>
      </c>
      <c r="G635" s="621">
        <f t="shared" si="10"/>
        <v>2881656326.2577777</v>
      </c>
      <c r="H635" s="543"/>
      <c r="I635" s="543"/>
      <c r="J635" s="543"/>
    </row>
    <row r="636" spans="1:10" x14ac:dyDescent="0.2">
      <c r="A636" s="615">
        <v>4</v>
      </c>
      <c r="B636" s="55">
        <f t="shared" si="11"/>
        <v>141199.28</v>
      </c>
      <c r="C636" s="620">
        <f t="shared" si="7"/>
        <v>70599.64</v>
      </c>
      <c r="D636" s="55">
        <f t="shared" si="8"/>
        <v>23533.213333333333</v>
      </c>
      <c r="E636" s="621">
        <f t="shared" si="9"/>
        <v>78.444044444444444</v>
      </c>
      <c r="F636" s="621">
        <f t="shared" si="10"/>
        <v>338594618.33528888</v>
      </c>
      <c r="G636" s="621">
        <f t="shared" si="10"/>
        <v>2708756946.6823111</v>
      </c>
      <c r="H636" s="543"/>
      <c r="I636" s="543"/>
      <c r="J636" s="543"/>
    </row>
    <row r="637" spans="1:10" x14ac:dyDescent="0.2">
      <c r="A637" s="615">
        <v>5</v>
      </c>
      <c r="B637" s="55">
        <f t="shared" si="11"/>
        <v>132727.32319999998</v>
      </c>
      <c r="C637" s="620">
        <f t="shared" si="7"/>
        <v>66363.661599999992</v>
      </c>
      <c r="D637" s="55">
        <f t="shared" si="8"/>
        <v>22121.22053333333</v>
      </c>
      <c r="E637" s="621">
        <f t="shared" si="9"/>
        <v>73.737401777777762</v>
      </c>
      <c r="F637" s="621">
        <f t="shared" si="10"/>
        <v>318278941.2351715</v>
      </c>
      <c r="G637" s="621">
        <f t="shared" si="10"/>
        <v>2546231529.881372</v>
      </c>
      <c r="H637" s="543"/>
      <c r="I637" s="543"/>
      <c r="J637" s="543"/>
    </row>
    <row r="638" spans="1:10" x14ac:dyDescent="0.2">
      <c r="A638" s="615">
        <v>6</v>
      </c>
      <c r="B638" s="55">
        <f t="shared" si="11"/>
        <v>124763.68380799999</v>
      </c>
      <c r="C638" s="620">
        <f t="shared" si="7"/>
        <v>62381.841903999994</v>
      </c>
      <c r="D638" s="55">
        <f t="shared" si="8"/>
        <v>20793.94730133333</v>
      </c>
      <c r="E638" s="621">
        <f t="shared" si="9"/>
        <v>69.313157671111099</v>
      </c>
      <c r="F638" s="621">
        <f t="shared" si="10"/>
        <v>299182204.76106119</v>
      </c>
      <c r="G638" s="621">
        <f t="shared" si="10"/>
        <v>2393457638.0884895</v>
      </c>
      <c r="H638" s="543"/>
      <c r="I638" s="543"/>
      <c r="J638" s="543"/>
    </row>
    <row r="639" spans="1:10" x14ac:dyDescent="0.2">
      <c r="A639" s="615">
        <v>7</v>
      </c>
      <c r="B639" s="55">
        <f t="shared" si="11"/>
        <v>117277.86277951999</v>
      </c>
      <c r="C639" s="620">
        <f t="shared" si="7"/>
        <v>58638.931389759993</v>
      </c>
      <c r="D639" s="55">
        <f t="shared" si="8"/>
        <v>19546.310463253332</v>
      </c>
      <c r="E639" s="621">
        <f t="shared" si="9"/>
        <v>65.154368210844439</v>
      </c>
      <c r="F639" s="621">
        <f t="shared" si="10"/>
        <v>281231272.47539759</v>
      </c>
      <c r="G639" s="621">
        <f t="shared" si="10"/>
        <v>2249850179.8031807</v>
      </c>
      <c r="H639" s="543"/>
      <c r="I639" s="543"/>
      <c r="J639" s="543"/>
    </row>
    <row r="640" spans="1:10" x14ac:dyDescent="0.2">
      <c r="A640" s="615">
        <v>8</v>
      </c>
      <c r="B640" s="55">
        <f t="shared" si="11"/>
        <v>110241.19101274879</v>
      </c>
      <c r="C640" s="620">
        <f t="shared" si="7"/>
        <v>55120.595506374397</v>
      </c>
      <c r="D640" s="55">
        <f t="shared" si="8"/>
        <v>18373.531835458132</v>
      </c>
      <c r="E640" s="621">
        <f t="shared" si="9"/>
        <v>61.245106118193775</v>
      </c>
      <c r="F640" s="621">
        <f t="shared" si="10"/>
        <v>264357396.12687373</v>
      </c>
      <c r="G640" s="621">
        <f t="shared" si="10"/>
        <v>2114859169.0149899</v>
      </c>
      <c r="H640" s="543"/>
      <c r="I640" s="543"/>
      <c r="J640" s="543"/>
    </row>
    <row r="641" spans="1:18" x14ac:dyDescent="0.2">
      <c r="A641" s="615">
        <v>9</v>
      </c>
      <c r="B641" s="55">
        <f t="shared" si="11"/>
        <v>103626.71955198387</v>
      </c>
      <c r="C641" s="620">
        <f t="shared" si="7"/>
        <v>51813.359775991936</v>
      </c>
      <c r="D641" s="55">
        <f t="shared" si="8"/>
        <v>17271.119925330644</v>
      </c>
      <c r="E641" s="621">
        <f t="shared" si="9"/>
        <v>57.570399751102144</v>
      </c>
      <c r="F641" s="621">
        <f t="shared" si="10"/>
        <v>248495952.35926127</v>
      </c>
      <c r="G641" s="621">
        <f t="shared" si="10"/>
        <v>1987967618.8740902</v>
      </c>
      <c r="H641" s="543"/>
      <c r="I641" s="543"/>
      <c r="J641" s="543"/>
    </row>
    <row r="642" spans="1:18" x14ac:dyDescent="0.2">
      <c r="A642" s="615">
        <v>10</v>
      </c>
      <c r="B642" s="55">
        <f t="shared" si="11"/>
        <v>97409.116378864841</v>
      </c>
      <c r="C642" s="620">
        <f t="shared" si="7"/>
        <v>48704.55818943242</v>
      </c>
      <c r="D642" s="55">
        <f t="shared" si="8"/>
        <v>16234.852729810807</v>
      </c>
      <c r="E642" s="621">
        <f t="shared" si="9"/>
        <v>54.116175766036022</v>
      </c>
      <c r="F642" s="621">
        <f t="shared" si="10"/>
        <v>233586195.21770564</v>
      </c>
      <c r="G642" s="621">
        <f t="shared" si="10"/>
        <v>1868689561.7416451</v>
      </c>
      <c r="H642" s="543"/>
      <c r="I642" s="543"/>
      <c r="J642" s="543"/>
    </row>
    <row r="643" spans="1:18" x14ac:dyDescent="0.2">
      <c r="A643" s="615">
        <v>11</v>
      </c>
      <c r="B643" s="55">
        <f t="shared" si="11"/>
        <v>91564.569396132953</v>
      </c>
      <c r="C643" s="620">
        <f t="shared" si="7"/>
        <v>45782.284698066476</v>
      </c>
      <c r="D643" s="55">
        <f t="shared" si="8"/>
        <v>15260.761566022158</v>
      </c>
      <c r="E643" s="621">
        <f t="shared" si="9"/>
        <v>50.869205220073859</v>
      </c>
      <c r="F643" s="621">
        <f t="shared" si="10"/>
        <v>219571023.50464329</v>
      </c>
      <c r="G643" s="621">
        <f t="shared" si="10"/>
        <v>1756568188.0371463</v>
      </c>
      <c r="H643" s="543"/>
      <c r="I643" s="543"/>
      <c r="J643" s="543"/>
    </row>
    <row r="644" spans="1:18" x14ac:dyDescent="0.2">
      <c r="A644" s="615">
        <v>12</v>
      </c>
      <c r="B644" s="55">
        <f t="shared" si="11"/>
        <v>86070.695232364975</v>
      </c>
      <c r="C644" s="620">
        <f t="shared" si="7"/>
        <v>43035.347616182487</v>
      </c>
      <c r="D644" s="55">
        <f t="shared" si="8"/>
        <v>14345.115872060829</v>
      </c>
      <c r="E644" s="621">
        <f t="shared" si="9"/>
        <v>47.817052906869428</v>
      </c>
      <c r="F644" s="621">
        <f t="shared" si="10"/>
        <v>206396762.0943647</v>
      </c>
      <c r="G644" s="621">
        <f t="shared" si="10"/>
        <v>1651174096.7549176</v>
      </c>
      <c r="H644" s="543"/>
      <c r="I644" s="543"/>
      <c r="J644" s="543"/>
    </row>
    <row r="645" spans="1:18" x14ac:dyDescent="0.2">
      <c r="A645" s="615">
        <v>13</v>
      </c>
      <c r="B645" s="55">
        <f t="shared" si="11"/>
        <v>80906.453518423077</v>
      </c>
      <c r="C645" s="620">
        <f t="shared" si="7"/>
        <v>40453.226759211539</v>
      </c>
      <c r="D645" s="55">
        <f t="shared" si="8"/>
        <v>13484.40891973718</v>
      </c>
      <c r="E645" s="621">
        <f t="shared" si="9"/>
        <v>44.948029732457265</v>
      </c>
      <c r="F645" s="621">
        <f t="shared" si="10"/>
        <v>194012956.36870283</v>
      </c>
      <c r="G645" s="621">
        <f t="shared" si="10"/>
        <v>1552103650.9496226</v>
      </c>
      <c r="H645" s="543"/>
      <c r="I645" s="543"/>
      <c r="J645" s="543"/>
    </row>
    <row r="646" spans="1:18" x14ac:dyDescent="0.2">
      <c r="A646" s="615">
        <v>14</v>
      </c>
      <c r="B646" s="55">
        <f t="shared" si="11"/>
        <v>76052.066307317698</v>
      </c>
      <c r="C646" s="620">
        <f t="shared" si="7"/>
        <v>38026.033153658849</v>
      </c>
      <c r="D646" s="55">
        <f t="shared" si="8"/>
        <v>12675.344384552949</v>
      </c>
      <c r="E646" s="621">
        <f t="shared" si="9"/>
        <v>42.251147948509832</v>
      </c>
      <c r="F646" s="621">
        <f t="shared" si="10"/>
        <v>182372178.98658067</v>
      </c>
      <c r="G646" s="621">
        <f t="shared" si="10"/>
        <v>1458977431.8926454</v>
      </c>
      <c r="H646" s="543"/>
      <c r="I646" s="543"/>
      <c r="J646" s="543"/>
    </row>
    <row r="647" spans="1:18" x14ac:dyDescent="0.2">
      <c r="A647" s="615">
        <v>15</v>
      </c>
      <c r="B647" s="55">
        <f t="shared" si="11"/>
        <v>71488.942328878635</v>
      </c>
      <c r="C647" s="620">
        <f t="shared" si="7"/>
        <v>35744.471164439317</v>
      </c>
      <c r="D647" s="55">
        <f t="shared" si="8"/>
        <v>11914.823721479772</v>
      </c>
      <c r="E647" s="621">
        <f t="shared" si="9"/>
        <v>39.716079071599239</v>
      </c>
      <c r="F647" s="621">
        <f t="shared" si="10"/>
        <v>171429848.2473858</v>
      </c>
      <c r="G647" s="621">
        <f t="shared" si="10"/>
        <v>1371438785.9790864</v>
      </c>
      <c r="H647" s="543"/>
      <c r="I647" s="543"/>
      <c r="J647" s="543"/>
    </row>
    <row r="648" spans="1:18" x14ac:dyDescent="0.2">
      <c r="A648" s="615">
        <v>16</v>
      </c>
      <c r="B648" s="55">
        <f t="shared" si="11"/>
        <v>67199.60578914592</v>
      </c>
      <c r="C648" s="620">
        <f t="shared" si="7"/>
        <v>33599.80289457296</v>
      </c>
      <c r="D648" s="55">
        <f t="shared" si="8"/>
        <v>11199.934298190987</v>
      </c>
      <c r="E648" s="621">
        <f t="shared" si="9"/>
        <v>37.333114327303292</v>
      </c>
      <c r="F648" s="621">
        <f t="shared" si="10"/>
        <v>161144057.3525427</v>
      </c>
      <c r="G648" s="621">
        <f t="shared" si="10"/>
        <v>1289152458.8203416</v>
      </c>
      <c r="H648" s="543"/>
      <c r="I648" s="543"/>
      <c r="J648" s="543"/>
    </row>
    <row r="649" spans="1:18" x14ac:dyDescent="0.2">
      <c r="A649" s="615">
        <v>17</v>
      </c>
      <c r="B649" s="55">
        <f t="shared" si="11"/>
        <v>63167.629441797166</v>
      </c>
      <c r="C649" s="620">
        <f t="shared" si="7"/>
        <v>31583.814720898583</v>
      </c>
      <c r="D649" s="55">
        <f t="shared" si="8"/>
        <v>10527.938240299527</v>
      </c>
      <c r="E649" s="621">
        <f t="shared" si="9"/>
        <v>35.093127467665092</v>
      </c>
      <c r="F649" s="621">
        <f t="shared" si="10"/>
        <v>151475413.91139013</v>
      </c>
      <c r="G649" s="621">
        <f t="shared" si="10"/>
        <v>1211803311.291121</v>
      </c>
      <c r="H649" s="543"/>
      <c r="I649" s="543"/>
      <c r="J649" s="543"/>
    </row>
    <row r="650" spans="1:18" x14ac:dyDescent="0.2">
      <c r="A650" s="615">
        <v>18</v>
      </c>
      <c r="B650" s="55">
        <f t="shared" si="11"/>
        <v>59377.571675289335</v>
      </c>
      <c r="C650" s="620">
        <f t="shared" si="7"/>
        <v>29688.785837644667</v>
      </c>
      <c r="D650" s="55">
        <f t="shared" si="8"/>
        <v>9896.2619458815552</v>
      </c>
      <c r="E650" s="621">
        <f t="shared" si="9"/>
        <v>32.987539819605182</v>
      </c>
      <c r="F650" s="621">
        <f t="shared" si="10"/>
        <v>142386889.07670671</v>
      </c>
      <c r="G650" s="621">
        <f t="shared" si="10"/>
        <v>1139095112.6136537</v>
      </c>
      <c r="H650" s="543"/>
      <c r="I650" s="543"/>
      <c r="J650" s="543"/>
    </row>
    <row r="651" spans="1:18" x14ac:dyDescent="0.2">
      <c r="A651" s="615">
        <v>19</v>
      </c>
      <c r="B651" s="55">
        <f t="shared" si="11"/>
        <v>55814.917374771976</v>
      </c>
      <c r="C651" s="620">
        <f t="shared" si="7"/>
        <v>27907.458687385988</v>
      </c>
      <c r="D651" s="55">
        <f t="shared" si="8"/>
        <v>9302.4862291286627</v>
      </c>
      <c r="E651" s="621">
        <f t="shared" si="9"/>
        <v>31.008287430428876</v>
      </c>
      <c r="F651" s="621">
        <f t="shared" si="10"/>
        <v>133843675.73210432</v>
      </c>
      <c r="G651" s="621">
        <f t="shared" si="10"/>
        <v>1070749405.8568345</v>
      </c>
      <c r="H651" s="543"/>
      <c r="I651" s="543"/>
      <c r="J651" s="543"/>
    </row>
    <row r="652" spans="1:18" hidden="1" x14ac:dyDescent="0.2">
      <c r="A652" s="615">
        <v>20</v>
      </c>
      <c r="B652" s="55">
        <f t="shared" si="11"/>
        <v>52466.022332285655</v>
      </c>
      <c r="C652" s="620">
        <f t="shared" si="7"/>
        <v>26233.011166142827</v>
      </c>
      <c r="D652" s="55">
        <f t="shared" si="8"/>
        <v>8744.3370553809418</v>
      </c>
      <c r="E652" s="621">
        <f t="shared" si="9"/>
        <v>29.147790184603139</v>
      </c>
      <c r="F652" s="621">
        <f t="shared" si="10"/>
        <v>125813055.18817803</v>
      </c>
      <c r="G652" s="621">
        <f t="shared" si="10"/>
        <v>1006504441.5054243</v>
      </c>
      <c r="H652" s="543"/>
      <c r="I652" s="543"/>
      <c r="J652" s="543"/>
    </row>
    <row r="653" spans="1:18" x14ac:dyDescent="0.2">
      <c r="A653" s="622"/>
      <c r="B653" s="623"/>
      <c r="C653" s="618"/>
      <c r="D653" s="543"/>
      <c r="E653" s="543"/>
      <c r="F653" s="543"/>
      <c r="G653" s="543"/>
      <c r="H653" s="543"/>
      <c r="I653" s="543"/>
      <c r="J653" s="543"/>
    </row>
    <row r="654" spans="1:18" x14ac:dyDescent="0.2">
      <c r="B654" s="543"/>
      <c r="C654" s="543"/>
      <c r="D654" s="543"/>
      <c r="E654" s="543"/>
      <c r="F654" s="543"/>
      <c r="G654" s="543"/>
      <c r="H654" s="543"/>
      <c r="I654" s="543"/>
      <c r="J654" s="543"/>
    </row>
    <row r="655" spans="1:18" x14ac:dyDescent="0.2">
      <c r="B655" s="543"/>
      <c r="C655" s="543"/>
      <c r="D655" s="543"/>
      <c r="E655" s="543"/>
      <c r="F655" s="543"/>
      <c r="G655" s="543"/>
      <c r="H655" s="543"/>
      <c r="I655" s="543"/>
      <c r="J655" s="543"/>
    </row>
    <row r="656" spans="1:18" s="103" customFormat="1" ht="15" x14ac:dyDescent="0.25">
      <c r="B656" s="624"/>
      <c r="C656" s="532"/>
      <c r="D656" s="532"/>
      <c r="E656" s="532"/>
      <c r="F656" s="532"/>
      <c r="G656" s="532"/>
      <c r="H656" s="532"/>
      <c r="I656" s="532"/>
      <c r="J656" s="532"/>
      <c r="K656" s="532"/>
      <c r="L656" s="532"/>
      <c r="M656" s="532"/>
      <c r="N656" s="532"/>
      <c r="O656" s="532"/>
      <c r="P656" s="532"/>
      <c r="Q656" s="532"/>
      <c r="R656" s="532"/>
    </row>
    <row r="657" spans="2:18" ht="15" x14ac:dyDescent="0.25">
      <c r="B657" s="500" t="s">
        <v>975</v>
      </c>
      <c r="C657" s="25"/>
      <c r="D657" s="25"/>
      <c r="E657" s="25"/>
      <c r="F657" s="528"/>
      <c r="G657" s="25"/>
      <c r="H657" s="25"/>
      <c r="I657" s="392"/>
      <c r="J657" s="392"/>
      <c r="K657" s="25"/>
      <c r="L657" s="25"/>
      <c r="M657" s="25"/>
      <c r="N657" s="25"/>
      <c r="O657" s="25"/>
      <c r="P657" s="25"/>
      <c r="Q657" s="25"/>
      <c r="R657" s="25"/>
    </row>
    <row r="658" spans="2:18" x14ac:dyDescent="0.2">
      <c r="B658" s="554" t="s">
        <v>870</v>
      </c>
      <c r="C658" s="51">
        <f>C585</f>
        <v>38004</v>
      </c>
      <c r="D658" s="25"/>
      <c r="E658" s="25"/>
      <c r="F658" s="528"/>
      <c r="G658" s="25"/>
      <c r="H658" s="25"/>
      <c r="I658" s="392"/>
      <c r="J658" s="392"/>
      <c r="K658" s="25"/>
      <c r="L658" s="25"/>
      <c r="M658" s="25"/>
      <c r="N658" s="25"/>
      <c r="O658" s="25"/>
      <c r="P658" s="25"/>
      <c r="Q658" s="25"/>
      <c r="R658" s="25"/>
    </row>
    <row r="659" spans="2:18" ht="30" x14ac:dyDescent="0.2">
      <c r="B659" s="555" t="s">
        <v>871</v>
      </c>
      <c r="C659" s="582" t="s">
        <v>872</v>
      </c>
      <c r="D659" s="582" t="s">
        <v>873</v>
      </c>
      <c r="E659" s="582" t="s">
        <v>942</v>
      </c>
      <c r="F659" s="582" t="s">
        <v>943</v>
      </c>
      <c r="G659" s="582" t="s">
        <v>944</v>
      </c>
      <c r="H659" s="582" t="s">
        <v>877</v>
      </c>
      <c r="I659" s="392"/>
      <c r="J659" s="392"/>
      <c r="K659" s="25"/>
      <c r="L659" s="25"/>
      <c r="M659" s="25"/>
      <c r="N659" s="25"/>
      <c r="O659" s="25"/>
      <c r="P659" s="25"/>
      <c r="Q659" s="25"/>
      <c r="R659" s="25"/>
    </row>
    <row r="660" spans="2:18" x14ac:dyDescent="0.2">
      <c r="B660" s="557" t="s">
        <v>878</v>
      </c>
      <c r="C660" s="558">
        <v>23563</v>
      </c>
      <c r="D660" s="559">
        <f>C658*C660</f>
        <v>895488252</v>
      </c>
      <c r="E660" s="560">
        <v>0.1</v>
      </c>
      <c r="F660" s="51">
        <f>D660*E660</f>
        <v>89548825.200000003</v>
      </c>
      <c r="G660" s="560">
        <v>0.1</v>
      </c>
      <c r="H660" s="602">
        <f>F660*G660</f>
        <v>8954882.5200000014</v>
      </c>
      <c r="I660" s="392"/>
      <c r="J660" s="392"/>
      <c r="K660" s="25"/>
      <c r="L660" s="25"/>
      <c r="M660" s="25"/>
      <c r="N660" s="25"/>
      <c r="O660" s="25"/>
      <c r="P660" s="25"/>
      <c r="Q660" s="25"/>
      <c r="R660" s="25"/>
    </row>
    <row r="661" spans="2:18" x14ac:dyDescent="0.2">
      <c r="B661" s="562" t="s">
        <v>879</v>
      </c>
      <c r="C661" s="558">
        <v>204995</v>
      </c>
      <c r="D661" s="559">
        <f>C658*C661</f>
        <v>7790629980</v>
      </c>
      <c r="E661" s="560">
        <v>0.05</v>
      </c>
      <c r="F661" s="51">
        <f>D661*E661</f>
        <v>389531499</v>
      </c>
      <c r="G661" s="560"/>
      <c r="H661" s="563">
        <f>F661*G661</f>
        <v>0</v>
      </c>
      <c r="I661" s="392"/>
      <c r="J661" s="392"/>
      <c r="K661" s="25"/>
      <c r="L661" s="25"/>
      <c r="M661" s="25"/>
      <c r="N661" s="25"/>
      <c r="O661" s="25"/>
      <c r="P661" s="25"/>
      <c r="Q661" s="25"/>
      <c r="R661" s="25"/>
    </row>
    <row r="662" spans="2:18" x14ac:dyDescent="0.2">
      <c r="B662" s="557" t="s">
        <v>880</v>
      </c>
      <c r="C662" s="558">
        <v>1736565</v>
      </c>
      <c r="D662" s="559">
        <f>C658*C662</f>
        <v>65996416260</v>
      </c>
      <c r="E662" s="560"/>
      <c r="F662" s="51">
        <f>D662*E662</f>
        <v>0</v>
      </c>
      <c r="G662" s="560"/>
      <c r="H662" s="563">
        <f>F662*G662</f>
        <v>0</v>
      </c>
      <c r="I662" s="392"/>
      <c r="J662" s="392"/>
      <c r="K662" s="25"/>
      <c r="L662" s="25"/>
      <c r="M662" s="25"/>
      <c r="N662" s="25"/>
      <c r="O662" s="25"/>
      <c r="P662" s="25"/>
      <c r="Q662" s="25"/>
      <c r="R662" s="25"/>
    </row>
    <row r="663" spans="2:18" x14ac:dyDescent="0.2">
      <c r="B663" s="557"/>
      <c r="C663" s="564"/>
      <c r="D663" s="565"/>
      <c r="E663" s="566"/>
      <c r="F663" s="528"/>
      <c r="G663" s="566"/>
      <c r="H663" s="567"/>
      <c r="I663" s="392"/>
      <c r="J663" s="392"/>
      <c r="K663" s="25"/>
      <c r="L663" s="25"/>
      <c r="M663" s="25"/>
      <c r="N663" s="25"/>
      <c r="O663" s="25"/>
      <c r="P663" s="25"/>
      <c r="Q663" s="25"/>
      <c r="R663" s="25"/>
    </row>
    <row r="664" spans="2:18" ht="15" x14ac:dyDescent="0.25">
      <c r="B664" s="500" t="s">
        <v>976</v>
      </c>
      <c r="C664" s="543"/>
      <c r="D664" s="543"/>
      <c r="E664" s="543"/>
      <c r="F664" s="543"/>
      <c r="G664" s="543"/>
      <c r="H664" s="543"/>
      <c r="I664" s="543"/>
      <c r="J664" s="543"/>
      <c r="K664" s="543"/>
      <c r="L664" s="543"/>
      <c r="M664" s="543"/>
      <c r="N664" s="543"/>
      <c r="O664" s="543"/>
      <c r="P664" s="543"/>
      <c r="Q664" s="543"/>
      <c r="R664" s="543"/>
    </row>
    <row r="665" spans="2:18" x14ac:dyDescent="0.2">
      <c r="B665" s="543"/>
      <c r="C665" s="543"/>
      <c r="D665" s="625"/>
      <c r="E665" s="543"/>
      <c r="F665" s="543"/>
      <c r="G665" s="543"/>
      <c r="H665" s="543"/>
      <c r="I665" s="543"/>
      <c r="J665" s="543"/>
      <c r="K665" s="543"/>
      <c r="L665" s="543"/>
      <c r="M665" s="543"/>
      <c r="N665" s="543"/>
      <c r="O665" s="543"/>
      <c r="P665" s="543"/>
      <c r="Q665" s="543"/>
      <c r="R665" s="543"/>
    </row>
    <row r="667" spans="2:18" ht="15" x14ac:dyDescent="0.2">
      <c r="B667" s="626" t="s">
        <v>977</v>
      </c>
      <c r="C667" s="626" t="s">
        <v>978</v>
      </c>
      <c r="D667" s="104"/>
    </row>
    <row r="668" spans="2:18" x14ac:dyDescent="0.2">
      <c r="B668" s="54">
        <v>20000000</v>
      </c>
      <c r="C668" s="104">
        <v>3</v>
      </c>
      <c r="D668" s="46">
        <f>B668*C668</f>
        <v>60000000</v>
      </c>
    </row>
    <row r="669" spans="2:18" ht="15" x14ac:dyDescent="0.2">
      <c r="B669" s="104" t="s">
        <v>979</v>
      </c>
      <c r="D669" s="627">
        <f>D668*5%</f>
        <v>3000000</v>
      </c>
    </row>
    <row r="670" spans="2:18" x14ac:dyDescent="0.2">
      <c r="B670" s="102" t="s">
        <v>980</v>
      </c>
    </row>
  </sheetData>
  <sheetProtection algorithmName="SHA-512" hashValue="SB1gkf5oV06sQcJLbUfnLUftdhJg3nVcQIYyE43sAP9eVbT0AmY6Al+e2FxKb0MUy9JR1h2LftdI7hf7byHgzQ==" saltValue="2lFcorK9KMuwH7UIhaKTlw==" spinCount="100000" sheet="1" objects="1" scenarios="1"/>
  <mergeCells count="25">
    <mergeCell ref="B108:C108"/>
    <mergeCell ref="B1:J1"/>
    <mergeCell ref="B6:E6"/>
    <mergeCell ref="B69:D69"/>
    <mergeCell ref="C71:C81"/>
    <mergeCell ref="B95:C95"/>
    <mergeCell ref="B326:C326"/>
    <mergeCell ref="B109:C109"/>
    <mergeCell ref="B124:C124"/>
    <mergeCell ref="B134:C134"/>
    <mergeCell ref="D179:D181"/>
    <mergeCell ref="D182:D184"/>
    <mergeCell ref="D185:D186"/>
    <mergeCell ref="D187:D188"/>
    <mergeCell ref="B266:C266"/>
    <mergeCell ref="B282:D282"/>
    <mergeCell ref="B311:C311"/>
    <mergeCell ref="B321:C321"/>
    <mergeCell ref="B459:D459"/>
    <mergeCell ref="B352:C352"/>
    <mergeCell ref="B364:C364"/>
    <mergeCell ref="B379:C379"/>
    <mergeCell ref="B382:C382"/>
    <mergeCell ref="B388:C388"/>
    <mergeCell ref="B394:C394"/>
  </mergeCells>
  <hyperlinks>
    <hyperlink ref="B33" r:id="rId1"/>
    <hyperlink ref="B482" r:id="rId2"/>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showGridLines="0" zoomScale="70" zoomScaleNormal="70" workbookViewId="0">
      <selection activeCell="A42" sqref="A42"/>
    </sheetView>
  </sheetViews>
  <sheetFormatPr baseColWidth="10" defaultColWidth="10.85546875" defaultRowHeight="14.25" x14ac:dyDescent="0.2"/>
  <cols>
    <col min="1" max="1" width="100.42578125" style="53" customWidth="1"/>
    <col min="2" max="2" width="20.42578125" style="53" customWidth="1"/>
    <col min="3" max="5" width="21.42578125" style="53" customWidth="1"/>
    <col min="6" max="7" width="18.42578125" style="53" customWidth="1"/>
    <col min="8" max="8" width="21.42578125" style="53" customWidth="1"/>
    <col min="9" max="10" width="18.42578125" style="53" customWidth="1"/>
    <col min="11" max="11" width="21.42578125" style="53" customWidth="1"/>
    <col min="12" max="13" width="18.42578125" style="53" customWidth="1"/>
    <col min="14" max="14" width="21.42578125" style="53" customWidth="1"/>
    <col min="15" max="16" width="18.42578125" style="53" customWidth="1"/>
    <col min="17" max="17" width="21.42578125" style="53" customWidth="1"/>
    <col min="18" max="19" width="18.42578125" style="53" customWidth="1"/>
    <col min="20" max="20" width="21.42578125" style="53" customWidth="1"/>
    <col min="21" max="21" width="18.42578125" style="53" customWidth="1"/>
    <col min="22" max="22" width="23.42578125" style="53" customWidth="1"/>
    <col min="23" max="23" width="23.42578125" style="313" bestFit="1" customWidth="1"/>
    <col min="24" max="16384" width="10.85546875" style="53"/>
  </cols>
  <sheetData>
    <row r="1" spans="1:23" ht="15" x14ac:dyDescent="0.25">
      <c r="A1" s="715" t="s">
        <v>287</v>
      </c>
      <c r="B1" s="716"/>
      <c r="C1" s="716"/>
      <c r="D1" s="716"/>
      <c r="E1" s="716"/>
      <c r="F1" s="716"/>
      <c r="G1" s="716"/>
      <c r="H1" s="716"/>
      <c r="I1" s="716"/>
      <c r="J1" s="716"/>
      <c r="K1" s="716"/>
      <c r="L1" s="716"/>
      <c r="M1" s="716"/>
      <c r="N1" s="716"/>
      <c r="O1" s="716"/>
      <c r="P1" s="716"/>
      <c r="Q1" s="716"/>
      <c r="R1" s="716"/>
      <c r="S1" s="716"/>
      <c r="T1" s="716"/>
      <c r="U1" s="716"/>
      <c r="V1" s="716"/>
      <c r="W1" s="716"/>
    </row>
    <row r="2" spans="1:23" ht="15" x14ac:dyDescent="0.25">
      <c r="A2" s="715" t="s">
        <v>327</v>
      </c>
      <c r="B2" s="716"/>
      <c r="C2" s="716"/>
      <c r="D2" s="716"/>
      <c r="E2" s="716"/>
      <c r="F2" s="716"/>
      <c r="G2" s="716"/>
      <c r="H2" s="716"/>
      <c r="I2" s="716"/>
      <c r="J2" s="716"/>
      <c r="K2" s="716"/>
      <c r="L2" s="716"/>
      <c r="M2" s="716"/>
      <c r="N2" s="716"/>
      <c r="O2" s="716"/>
      <c r="P2" s="716"/>
      <c r="Q2" s="716"/>
      <c r="R2" s="716"/>
      <c r="S2" s="716"/>
      <c r="T2" s="716"/>
      <c r="U2" s="716"/>
      <c r="V2" s="716"/>
      <c r="W2" s="716"/>
    </row>
    <row r="3" spans="1:23" ht="18.75" x14ac:dyDescent="0.3">
      <c r="A3" s="221"/>
      <c r="B3" s="222"/>
      <c r="C3" s="222"/>
      <c r="D3" s="222"/>
      <c r="E3" s="222"/>
      <c r="F3" s="222"/>
      <c r="G3" s="222"/>
      <c r="H3" s="222"/>
      <c r="I3" s="222"/>
      <c r="J3" s="222"/>
      <c r="K3" s="222"/>
      <c r="L3" s="222"/>
      <c r="M3" s="222"/>
      <c r="N3" s="222"/>
      <c r="O3" s="222"/>
      <c r="P3" s="222"/>
      <c r="Q3" s="222"/>
      <c r="R3" s="222"/>
      <c r="S3" s="222"/>
      <c r="T3" s="222"/>
      <c r="U3" s="222"/>
      <c r="V3" s="222"/>
      <c r="W3" s="308"/>
    </row>
    <row r="5" spans="1:23" ht="15" x14ac:dyDescent="0.2">
      <c r="A5" s="165" t="s">
        <v>285</v>
      </c>
      <c r="B5" s="165">
        <v>1</v>
      </c>
      <c r="C5" s="165">
        <v>2</v>
      </c>
      <c r="D5" s="165">
        <v>3</v>
      </c>
      <c r="E5" s="165">
        <v>4</v>
      </c>
      <c r="F5" s="165">
        <v>5</v>
      </c>
      <c r="G5" s="165">
        <v>6</v>
      </c>
      <c r="H5" s="165">
        <v>7</v>
      </c>
      <c r="I5" s="165">
        <v>8</v>
      </c>
      <c r="J5" s="165">
        <v>9</v>
      </c>
      <c r="K5" s="165">
        <v>10</v>
      </c>
      <c r="L5" s="165">
        <v>11</v>
      </c>
      <c r="M5" s="165">
        <v>12</v>
      </c>
      <c r="N5" s="165">
        <v>13</v>
      </c>
      <c r="O5" s="165">
        <v>14</v>
      </c>
      <c r="P5" s="165">
        <v>15</v>
      </c>
      <c r="Q5" s="165">
        <v>16</v>
      </c>
      <c r="R5" s="165">
        <v>17</v>
      </c>
      <c r="S5" s="165">
        <v>18</v>
      </c>
      <c r="T5" s="165">
        <v>19</v>
      </c>
      <c r="U5" s="165">
        <v>20</v>
      </c>
      <c r="V5" s="165" t="s">
        <v>286</v>
      </c>
      <c r="W5" s="309" t="s">
        <v>26</v>
      </c>
    </row>
    <row r="6" spans="1:23" s="203" customFormat="1" ht="15" x14ac:dyDescent="0.2">
      <c r="A6" s="202" t="str">
        <f>'PPP_V3_y Costos'!C2</f>
        <v>1. Incremento del consumo de maíz nacional.</v>
      </c>
      <c r="B6" s="166">
        <f>'P1'!E7</f>
        <v>1180628211.9875</v>
      </c>
      <c r="C6" s="166">
        <f>'P1'!F7</f>
        <v>13207564847.949997</v>
      </c>
      <c r="D6" s="166">
        <f>'P1'!G7</f>
        <v>13207564847.949997</v>
      </c>
      <c r="E6" s="166">
        <f>'P1'!H7</f>
        <v>13207564847.949997</v>
      </c>
      <c r="F6" s="166">
        <f>'P1'!I7</f>
        <v>13207564847.949997</v>
      </c>
      <c r="G6" s="166">
        <f>'P1'!J7</f>
        <v>13207564847.949997</v>
      </c>
      <c r="H6" s="166">
        <f>'P1'!K7</f>
        <v>4722512847.9499998</v>
      </c>
      <c r="I6" s="166">
        <f>'P1'!L7</f>
        <v>4722512847.9499998</v>
      </c>
      <c r="J6" s="166">
        <f>'P1'!M7</f>
        <v>4722512847.9499998</v>
      </c>
      <c r="K6" s="166">
        <f>'P1'!N7</f>
        <v>4722512847.9499998</v>
      </c>
      <c r="L6" s="166">
        <f>'P1'!O7</f>
        <v>4722512847.9499998</v>
      </c>
      <c r="M6" s="166">
        <f>'P1'!P7</f>
        <v>4722512847.9499998</v>
      </c>
      <c r="N6" s="166">
        <f>'P1'!Q7</f>
        <v>4722512847.9499998</v>
      </c>
      <c r="O6" s="166">
        <f>'P1'!R7</f>
        <v>4722512847.9499998</v>
      </c>
      <c r="P6" s="166">
        <f>'P1'!S7</f>
        <v>4722512847.9499998</v>
      </c>
      <c r="Q6" s="166">
        <f>'P1'!T7</f>
        <v>4722512847.9499998</v>
      </c>
      <c r="R6" s="166">
        <f>'P1'!U7</f>
        <v>4722512847.9499998</v>
      </c>
      <c r="S6" s="166">
        <f>'P1'!V7</f>
        <v>4722512847.9499998</v>
      </c>
      <c r="T6" s="166">
        <f>'P1'!W7</f>
        <v>4722512847.9499998</v>
      </c>
      <c r="U6" s="166">
        <f>'P1'!X7</f>
        <v>4722512847.9499998</v>
      </c>
      <c r="V6" s="166">
        <f>'P1'!Y7</f>
        <v>133333632323.03745</v>
      </c>
      <c r="W6" s="310">
        <f t="shared" ref="W6:W15" si="0">V6/V$42</f>
        <v>4.4688877383131036E-2</v>
      </c>
    </row>
    <row r="7" spans="1:23" s="203" customFormat="1" x14ac:dyDescent="0.2">
      <c r="A7" s="204" t="str">
        <f>'PPP_V3_y Costos'!D2</f>
        <v>1.1. Aumento de la participación del maíz nacional en el mercado de consumo animal.</v>
      </c>
      <c r="B7" s="54">
        <f>'P1'!E8</f>
        <v>516491238.75</v>
      </c>
      <c r="C7" s="54">
        <f>'P1'!F8</f>
        <v>10551016954.999998</v>
      </c>
      <c r="D7" s="54">
        <f>'P1'!G8</f>
        <v>10551016954.999998</v>
      </c>
      <c r="E7" s="54">
        <f>'P1'!H8</f>
        <v>10551016954.999998</v>
      </c>
      <c r="F7" s="54">
        <f>'P1'!I8</f>
        <v>10551016954.999998</v>
      </c>
      <c r="G7" s="54">
        <f>'P1'!J8</f>
        <v>10551016954.999998</v>
      </c>
      <c r="H7" s="54">
        <f>'P1'!K8</f>
        <v>2065964955</v>
      </c>
      <c r="I7" s="54">
        <f>'P1'!L8</f>
        <v>2065964955</v>
      </c>
      <c r="J7" s="54">
        <f>'P1'!M8</f>
        <v>2065964955</v>
      </c>
      <c r="K7" s="54">
        <f>'P1'!N8</f>
        <v>2065964955</v>
      </c>
      <c r="L7" s="54">
        <f>'P1'!O8</f>
        <v>2065964955</v>
      </c>
      <c r="M7" s="54">
        <f>'P1'!P8</f>
        <v>2065964955</v>
      </c>
      <c r="N7" s="54">
        <f>'P1'!Q8</f>
        <v>2065964955</v>
      </c>
      <c r="O7" s="54">
        <f>'P1'!R8</f>
        <v>2065964955</v>
      </c>
      <c r="P7" s="54">
        <f>'P1'!S8</f>
        <v>2065964955</v>
      </c>
      <c r="Q7" s="54">
        <f>'P1'!T8</f>
        <v>2065964955</v>
      </c>
      <c r="R7" s="54">
        <f>'P1'!U8</f>
        <v>2065964955</v>
      </c>
      <c r="S7" s="54">
        <f>'P1'!V8</f>
        <v>2065964955</v>
      </c>
      <c r="T7" s="54">
        <f>'P1'!W8</f>
        <v>2065964955</v>
      </c>
      <c r="U7" s="54">
        <f>'P1'!X8</f>
        <v>2065964955</v>
      </c>
      <c r="V7" s="54">
        <f>'P1'!Y8</f>
        <v>82195085383.75</v>
      </c>
      <c r="W7" s="217">
        <f t="shared" si="0"/>
        <v>2.75489839151088E-2</v>
      </c>
    </row>
    <row r="8" spans="1:23" s="203" customFormat="1" ht="28.5" x14ac:dyDescent="0.2">
      <c r="A8" s="204" t="str">
        <f>'PPP_V3_y Costos'!D3</f>
        <v>1.2. Posicionamiento de la oferta del maíz nacional y sus derivados, para  alimentación humana y otros usos.</v>
      </c>
      <c r="B8" s="54">
        <f>'P1'!E9</f>
        <v>664136973.23749995</v>
      </c>
      <c r="C8" s="54">
        <f>'P1'!F9</f>
        <v>2656547892.9499998</v>
      </c>
      <c r="D8" s="54">
        <f>'P1'!G9</f>
        <v>2656547892.9499998</v>
      </c>
      <c r="E8" s="54">
        <f>'P1'!H9</f>
        <v>2656547892.9499998</v>
      </c>
      <c r="F8" s="54">
        <f>'P1'!I9</f>
        <v>2656547892.9499998</v>
      </c>
      <c r="G8" s="54">
        <f>'P1'!J9</f>
        <v>2656547892.9499998</v>
      </c>
      <c r="H8" s="54">
        <f>'P1'!K9</f>
        <v>2656547892.9499998</v>
      </c>
      <c r="I8" s="54">
        <f>'P1'!L9</f>
        <v>2656547892.9499998</v>
      </c>
      <c r="J8" s="54">
        <f>'P1'!M9</f>
        <v>2656547892.9499998</v>
      </c>
      <c r="K8" s="54">
        <f>'P1'!N9</f>
        <v>2656547892.9499998</v>
      </c>
      <c r="L8" s="54">
        <f>'P1'!O9</f>
        <v>2656547892.9499998</v>
      </c>
      <c r="M8" s="54">
        <f>'P1'!P9</f>
        <v>2656547892.9499998</v>
      </c>
      <c r="N8" s="54">
        <f>'P1'!Q9</f>
        <v>2656547892.9499998</v>
      </c>
      <c r="O8" s="54">
        <f>'P1'!R9</f>
        <v>2656547892.9499998</v>
      </c>
      <c r="P8" s="54">
        <f>'P1'!S9</f>
        <v>2656547892.9499998</v>
      </c>
      <c r="Q8" s="54">
        <f>'P1'!T9</f>
        <v>2656547892.9499998</v>
      </c>
      <c r="R8" s="54">
        <f>'P1'!U9</f>
        <v>2656547892.9499998</v>
      </c>
      <c r="S8" s="54">
        <f>'P1'!V9</f>
        <v>2656547892.9499998</v>
      </c>
      <c r="T8" s="54">
        <f>'P1'!W9</f>
        <v>2656547892.9499998</v>
      </c>
      <c r="U8" s="54">
        <f>'P1'!X9</f>
        <v>2656547892.9499998</v>
      </c>
      <c r="V8" s="54">
        <f>'P1'!Y9</f>
        <v>51138546939.287483</v>
      </c>
      <c r="W8" s="217">
        <f t="shared" si="0"/>
        <v>1.7139893468022246E-2</v>
      </c>
    </row>
    <row r="9" spans="1:23" s="203" customFormat="1" ht="15" x14ac:dyDescent="0.2">
      <c r="A9" s="202" t="str">
        <f>'PPP_V3_y Costos'!C4</f>
        <v>2. Mejoramiento productivo del cultivo de maíz.</v>
      </c>
      <c r="B9" s="166">
        <f>'P2'!E7</f>
        <v>1223007694</v>
      </c>
      <c r="C9" s="166">
        <f>'P2'!F7</f>
        <v>78399694040</v>
      </c>
      <c r="D9" s="166">
        <f>'P2'!G7</f>
        <v>78399694040</v>
      </c>
      <c r="E9" s="166">
        <f>'P2'!H7</f>
        <v>78399694040</v>
      </c>
      <c r="F9" s="166">
        <f>'P2'!I7</f>
        <v>78399694040</v>
      </c>
      <c r="G9" s="166">
        <f>'P2'!J7</f>
        <v>76239054248</v>
      </c>
      <c r="H9" s="166">
        <f>'P2'!K7</f>
        <v>76239054248</v>
      </c>
      <c r="I9" s="166">
        <f>'P2'!L7</f>
        <v>76239054248</v>
      </c>
      <c r="J9" s="166">
        <f>'P2'!M7</f>
        <v>76239054248</v>
      </c>
      <c r="K9" s="166">
        <f>'P2'!N7</f>
        <v>76239054248</v>
      </c>
      <c r="L9" s="166">
        <f>'P2'!O7</f>
        <v>76239054248</v>
      </c>
      <c r="M9" s="166">
        <f>'P2'!P7</f>
        <v>27946085498</v>
      </c>
      <c r="N9" s="166">
        <f>'P2'!Q7</f>
        <v>27946085498</v>
      </c>
      <c r="O9" s="166">
        <f>'P2'!R7</f>
        <v>27946085498</v>
      </c>
      <c r="P9" s="166">
        <f>'P2'!S7</f>
        <v>27946085498</v>
      </c>
      <c r="Q9" s="166">
        <f>'P2'!T7</f>
        <v>27946085498</v>
      </c>
      <c r="R9" s="166">
        <f>'P2'!U7</f>
        <v>27946085498</v>
      </c>
      <c r="S9" s="166">
        <f>'P2'!V7</f>
        <v>27946085498</v>
      </c>
      <c r="T9" s="166">
        <f>'P2'!W7</f>
        <v>27946085498</v>
      </c>
      <c r="U9" s="166">
        <f>'P2'!X7</f>
        <v>27946085498</v>
      </c>
      <c r="V9" s="166">
        <f>'P2'!Y7</f>
        <v>1023770878824</v>
      </c>
      <c r="W9" s="310">
        <f t="shared" si="0"/>
        <v>0.34313301509210536</v>
      </c>
    </row>
    <row r="10" spans="1:23" s="203" customFormat="1" x14ac:dyDescent="0.2">
      <c r="A10" s="204" t="str">
        <f>'PPP_V3_y Costos'!D4</f>
        <v>2.1. Implementación efectiva de la asistencia técnica en sistemas tecnificados de maíz.</v>
      </c>
      <c r="B10" s="54">
        <f>'P2'!E8</f>
        <v>937600168</v>
      </c>
      <c r="C10" s="54">
        <f>'P2'!F8</f>
        <v>78019150672</v>
      </c>
      <c r="D10" s="54">
        <f>'P2'!G8</f>
        <v>78019150672</v>
      </c>
      <c r="E10" s="54">
        <f>'P2'!H8</f>
        <v>78019150672</v>
      </c>
      <c r="F10" s="54">
        <f>'P2'!I8</f>
        <v>78019150672</v>
      </c>
      <c r="G10" s="54">
        <f>'P2'!J8</f>
        <v>75858510880</v>
      </c>
      <c r="H10" s="54">
        <f>'P2'!K8</f>
        <v>75858510880</v>
      </c>
      <c r="I10" s="54">
        <f>'P2'!L8</f>
        <v>75858510880</v>
      </c>
      <c r="J10" s="54">
        <f>'P2'!M8</f>
        <v>75858510880</v>
      </c>
      <c r="K10" s="54">
        <f>'P2'!N8</f>
        <v>75858510880</v>
      </c>
      <c r="L10" s="54">
        <f>'P2'!O8</f>
        <v>75858510880</v>
      </c>
      <c r="M10" s="54">
        <f>'P2'!P8</f>
        <v>27565542130</v>
      </c>
      <c r="N10" s="54">
        <f>'P2'!Q8</f>
        <v>27565542130</v>
      </c>
      <c r="O10" s="54">
        <f>'P2'!R8</f>
        <v>27565542130</v>
      </c>
      <c r="P10" s="54">
        <f>'P2'!S8</f>
        <v>27565542130</v>
      </c>
      <c r="Q10" s="54">
        <f>'P2'!T8</f>
        <v>27565542130</v>
      </c>
      <c r="R10" s="54">
        <f>'P2'!U8</f>
        <v>27565542130</v>
      </c>
      <c r="S10" s="54">
        <f>'P2'!V8</f>
        <v>27565542130</v>
      </c>
      <c r="T10" s="54">
        <f>'P2'!W8</f>
        <v>27565542130</v>
      </c>
      <c r="U10" s="54">
        <f>'P2'!X8</f>
        <v>27565542130</v>
      </c>
      <c r="V10" s="54">
        <f>'P2'!Y8</f>
        <v>1016255147306</v>
      </c>
      <c r="W10" s="217">
        <f t="shared" si="0"/>
        <v>0.34061399870891185</v>
      </c>
    </row>
    <row r="11" spans="1:23" s="203" customFormat="1" x14ac:dyDescent="0.2">
      <c r="A11" s="204" t="str">
        <f>'PPP_V3_y Costos'!D5</f>
        <v xml:space="preserve">2.2. Impulso a la producción de maíz a mediana y gran escala.  </v>
      </c>
      <c r="B11" s="54">
        <f>'P2'!E9</f>
        <v>285407526</v>
      </c>
      <c r="C11" s="54">
        <f>'P2'!F9</f>
        <v>380543368</v>
      </c>
      <c r="D11" s="54">
        <f>'P2'!G9</f>
        <v>380543368</v>
      </c>
      <c r="E11" s="54">
        <f>'P2'!H9</f>
        <v>380543368</v>
      </c>
      <c r="F11" s="54">
        <f>'P2'!I9</f>
        <v>380543368</v>
      </c>
      <c r="G11" s="54">
        <f>'P2'!J9</f>
        <v>380543368</v>
      </c>
      <c r="H11" s="54">
        <f>'P2'!K9</f>
        <v>380543368</v>
      </c>
      <c r="I11" s="54">
        <f>'P2'!L9</f>
        <v>380543368</v>
      </c>
      <c r="J11" s="54">
        <f>'P2'!M9</f>
        <v>380543368</v>
      </c>
      <c r="K11" s="54">
        <f>'P2'!N9</f>
        <v>380543368</v>
      </c>
      <c r="L11" s="54">
        <f>'P2'!O9</f>
        <v>380543368</v>
      </c>
      <c r="M11" s="54">
        <f>'P2'!P9</f>
        <v>380543368</v>
      </c>
      <c r="N11" s="54">
        <f>'P2'!Q9</f>
        <v>380543368</v>
      </c>
      <c r="O11" s="54">
        <f>'P2'!R9</f>
        <v>380543368</v>
      </c>
      <c r="P11" s="54">
        <f>'P2'!S9</f>
        <v>380543368</v>
      </c>
      <c r="Q11" s="54">
        <f>'P2'!T9</f>
        <v>380543368</v>
      </c>
      <c r="R11" s="54">
        <f>'P2'!U9</f>
        <v>380543368</v>
      </c>
      <c r="S11" s="54">
        <f>'P2'!V9</f>
        <v>380543368</v>
      </c>
      <c r="T11" s="54">
        <f>'P2'!W9</f>
        <v>380543368</v>
      </c>
      <c r="U11" s="54">
        <f>'P2'!X9</f>
        <v>380543368</v>
      </c>
      <c r="V11" s="54">
        <f>'P2'!Y9</f>
        <v>7515731518</v>
      </c>
      <c r="W11" s="217">
        <f t="shared" si="0"/>
        <v>2.5190163831935414E-3</v>
      </c>
    </row>
    <row r="12" spans="1:23" s="203" customFormat="1" ht="15" x14ac:dyDescent="0.2">
      <c r="A12" s="202" t="str">
        <f>'PPP_V3_y Costos'!C6</f>
        <v xml:space="preserve">3. Generación y consolidación de encadenamientos regionales para la cadena de maíz. </v>
      </c>
      <c r="B12" s="166">
        <f>'P3'!E7</f>
        <v>2192898774.0434985</v>
      </c>
      <c r="C12" s="166">
        <f>'P3'!F7</f>
        <v>75017708836.936035</v>
      </c>
      <c r="D12" s="166">
        <f>'P3'!G7</f>
        <v>75017708836.936035</v>
      </c>
      <c r="E12" s="166">
        <f>'P3'!H7</f>
        <v>75017708836.936035</v>
      </c>
      <c r="F12" s="166">
        <f>'P3'!I7</f>
        <v>75017708836.936035</v>
      </c>
      <c r="G12" s="166">
        <f>'P3'!J7</f>
        <v>74942852600.936035</v>
      </c>
      <c r="H12" s="166">
        <f>'P3'!K7</f>
        <v>74863656901.424042</v>
      </c>
      <c r="I12" s="166">
        <f>'P3'!L7</f>
        <v>74863656901.424042</v>
      </c>
      <c r="J12" s="166">
        <f>'P3'!M7</f>
        <v>74863656901.424042</v>
      </c>
      <c r="K12" s="166">
        <f>'P3'!N7</f>
        <v>74863656901.424042</v>
      </c>
      <c r="L12" s="166">
        <f>'P3'!O7</f>
        <v>73614392216.11203</v>
      </c>
      <c r="M12" s="166">
        <f>'P3'!P7</f>
        <v>72247246068.906036</v>
      </c>
      <c r="N12" s="166">
        <f>'P3'!Q7</f>
        <v>72247246068.906036</v>
      </c>
      <c r="O12" s="166">
        <f>'P3'!R7</f>
        <v>72247246068.906036</v>
      </c>
      <c r="P12" s="166">
        <f>'P3'!S7</f>
        <v>72247246068.906036</v>
      </c>
      <c r="Q12" s="166">
        <f>'P3'!T7</f>
        <v>72247246068.906036</v>
      </c>
      <c r="R12" s="166">
        <f>'P3'!U7</f>
        <v>72247246068.906036</v>
      </c>
      <c r="S12" s="166">
        <f>'P3'!V7</f>
        <v>72247246068.906036</v>
      </c>
      <c r="T12" s="166">
        <f>'P3'!W7</f>
        <v>72247246068.906036</v>
      </c>
      <c r="U12" s="166">
        <f>'P3'!X7</f>
        <v>72247246068.906036</v>
      </c>
      <c r="V12" s="166">
        <f>'P3'!Y7</f>
        <v>1400500821164.686</v>
      </c>
      <c r="W12" s="310">
        <f t="shared" si="0"/>
        <v>0.46940001844672763</v>
      </c>
    </row>
    <row r="13" spans="1:23" s="203" customFormat="1" x14ac:dyDescent="0.2">
      <c r="A13" s="204" t="str">
        <f>'PPP_V3_y Costos'!D6</f>
        <v>3.1. Promoción y fortalecimiento de organizaciones de economía solidaria en la cadena de maíz.</v>
      </c>
      <c r="B13" s="54">
        <f>'P3'!E8</f>
        <v>239430830</v>
      </c>
      <c r="C13" s="54">
        <f>'P3'!F8</f>
        <v>957723320</v>
      </c>
      <c r="D13" s="54">
        <f>'P3'!G8</f>
        <v>957723320</v>
      </c>
      <c r="E13" s="54">
        <f>'P3'!H8</f>
        <v>957723320</v>
      </c>
      <c r="F13" s="54">
        <f>'P3'!I8</f>
        <v>957723320</v>
      </c>
      <c r="G13" s="54">
        <f>'P3'!J8</f>
        <v>1457723320</v>
      </c>
      <c r="H13" s="54">
        <f>'P3'!K8</f>
        <v>1457723320</v>
      </c>
      <c r="I13" s="54">
        <f>'P3'!L8</f>
        <v>1457723320</v>
      </c>
      <c r="J13" s="54">
        <f>'P3'!M8</f>
        <v>1457723320</v>
      </c>
      <c r="K13" s="54">
        <f>'P3'!N8</f>
        <v>1457723320</v>
      </c>
      <c r="L13" s="54">
        <f>'P3'!O8</f>
        <v>1457723320</v>
      </c>
      <c r="M13" s="54">
        <f>'P3'!P8</f>
        <v>1457723320</v>
      </c>
      <c r="N13" s="54">
        <f>'P3'!Q8</f>
        <v>1457723320</v>
      </c>
      <c r="O13" s="54">
        <f>'P3'!R8</f>
        <v>1457723320</v>
      </c>
      <c r="P13" s="54">
        <f>'P3'!S8</f>
        <v>1457723320</v>
      </c>
      <c r="Q13" s="54">
        <f>'P3'!T8</f>
        <v>1457723320</v>
      </c>
      <c r="R13" s="54">
        <f>'P3'!U8</f>
        <v>1457723320</v>
      </c>
      <c r="S13" s="54">
        <f>'P3'!V8</f>
        <v>1457723320</v>
      </c>
      <c r="T13" s="54">
        <f>'P3'!W8</f>
        <v>1457723320</v>
      </c>
      <c r="U13" s="54">
        <f>'P3'!X8</f>
        <v>1457723320</v>
      </c>
      <c r="V13" s="54">
        <f>'P3'!Y8</f>
        <v>25936173910</v>
      </c>
      <c r="W13" s="217">
        <f t="shared" si="0"/>
        <v>8.6929192241865412E-3</v>
      </c>
    </row>
    <row r="14" spans="1:23" s="203" customFormat="1" x14ac:dyDescent="0.2">
      <c r="A14" s="204" t="str">
        <f>'PPP_V3_y Costos'!D7</f>
        <v>3.2. Promoción de la integración y las alianzas estratégicas regionales en la cadena de maíz.</v>
      </c>
      <c r="B14" s="54">
        <f>'P3'!E9</f>
        <v>605460671.5</v>
      </c>
      <c r="C14" s="54">
        <f>'P3'!F9</f>
        <v>2421842686</v>
      </c>
      <c r="D14" s="54">
        <f>'P3'!G9</f>
        <v>2421842686</v>
      </c>
      <c r="E14" s="54">
        <f>'P3'!H9</f>
        <v>2421842686</v>
      </c>
      <c r="F14" s="54">
        <f>'P3'!I9</f>
        <v>2421842686</v>
      </c>
      <c r="G14" s="54">
        <f>'P3'!J9</f>
        <v>1846986450</v>
      </c>
      <c r="H14" s="54">
        <f>'P3'!K9</f>
        <v>1846986450</v>
      </c>
      <c r="I14" s="54">
        <f>'P3'!L9</f>
        <v>1846986450</v>
      </c>
      <c r="J14" s="54">
        <f>'P3'!M9</f>
        <v>1846986450</v>
      </c>
      <c r="K14" s="54">
        <f>'P3'!N9</f>
        <v>1846986450</v>
      </c>
      <c r="L14" s="54">
        <f>'P3'!O9</f>
        <v>1846986450</v>
      </c>
      <c r="M14" s="54">
        <f>'P3'!P9</f>
        <v>1846986450</v>
      </c>
      <c r="N14" s="54">
        <f>'P3'!Q9</f>
        <v>1846986450</v>
      </c>
      <c r="O14" s="54">
        <f>'P3'!R9</f>
        <v>1846986450</v>
      </c>
      <c r="P14" s="54">
        <f>'P3'!S9</f>
        <v>1846986450</v>
      </c>
      <c r="Q14" s="54">
        <f>'P3'!T9</f>
        <v>1846986450</v>
      </c>
      <c r="R14" s="54">
        <f>'P3'!U9</f>
        <v>1846986450</v>
      </c>
      <c r="S14" s="54">
        <f>'P3'!V9</f>
        <v>1846986450</v>
      </c>
      <c r="T14" s="54">
        <f>'P3'!W9</f>
        <v>1846986450</v>
      </c>
      <c r="U14" s="54">
        <f>'P3'!X9</f>
        <v>1846986450</v>
      </c>
      <c r="V14" s="54">
        <f>'P3'!Y9</f>
        <v>37997628165.5</v>
      </c>
      <c r="W14" s="217">
        <f t="shared" si="0"/>
        <v>1.2735506536143786E-2</v>
      </c>
    </row>
    <row r="15" spans="1:23" s="203" customFormat="1" ht="28.5" x14ac:dyDescent="0.2">
      <c r="A15" s="205" t="str">
        <f>'PPP_V3_y Costos'!D8</f>
        <v>3.3. Aumento de la capacidad instalada regional para el secamiento, almacenamiento, y  procesamiento agroindustrial de maíz.</v>
      </c>
      <c r="B15" s="54">
        <f>'P3'!E10</f>
        <v>341786536.80149841</v>
      </c>
      <c r="C15" s="54">
        <f>'P3'!F10</f>
        <v>68813185862.992035</v>
      </c>
      <c r="D15" s="54">
        <f>'P3'!G10</f>
        <v>68813185862.992035</v>
      </c>
      <c r="E15" s="54">
        <f>'P3'!H10</f>
        <v>68813185862.992035</v>
      </c>
      <c r="F15" s="54">
        <f>'P3'!I10</f>
        <v>68813185862.992035</v>
      </c>
      <c r="G15" s="54">
        <f>'P3'!J10</f>
        <v>68813185862.992035</v>
      </c>
      <c r="H15" s="54">
        <f>'P3'!K10</f>
        <v>68813185862.992035</v>
      </c>
      <c r="I15" s="54">
        <f>'P3'!L10</f>
        <v>68813185862.992035</v>
      </c>
      <c r="J15" s="54">
        <f>'P3'!M10</f>
        <v>68813185862.992035</v>
      </c>
      <c r="K15" s="54">
        <f>'P3'!N10</f>
        <v>68813185862.992035</v>
      </c>
      <c r="L15" s="54">
        <f>'P3'!O10</f>
        <v>68813185862.992035</v>
      </c>
      <c r="M15" s="54">
        <f>'P3'!P10</f>
        <v>67446039715.786041</v>
      </c>
      <c r="N15" s="54">
        <f>'P3'!Q10</f>
        <v>67446039715.786041</v>
      </c>
      <c r="O15" s="54">
        <f>'P3'!R10</f>
        <v>67446039715.786041</v>
      </c>
      <c r="P15" s="54">
        <f>'P3'!S10</f>
        <v>67446039715.786041</v>
      </c>
      <c r="Q15" s="54">
        <f>'P3'!T10</f>
        <v>67446039715.786041</v>
      </c>
      <c r="R15" s="54">
        <f>'P3'!U10</f>
        <v>67446039715.786041</v>
      </c>
      <c r="S15" s="54">
        <f>'P3'!V10</f>
        <v>67446039715.786041</v>
      </c>
      <c r="T15" s="54">
        <f>'P3'!W10</f>
        <v>67446039715.786041</v>
      </c>
      <c r="U15" s="54">
        <f>'P3'!X10</f>
        <v>67446039715.786041</v>
      </c>
      <c r="V15" s="54">
        <f>'P3'!Y10</f>
        <v>1295488002608.7964</v>
      </c>
      <c r="W15" s="217">
        <f t="shared" si="0"/>
        <v>0.43420331008186974</v>
      </c>
    </row>
    <row r="16" spans="1:23" s="203" customFormat="1" x14ac:dyDescent="0.2">
      <c r="A16" s="205" t="str">
        <f>'PPP_V3_y Costos'!D9</f>
        <v xml:space="preserve">3.4. Fortalecimiento de la oferta de insumos y servicios asociados a la cadena. </v>
      </c>
      <c r="B16" s="54">
        <f>'P3'!E11</f>
        <v>556248495.10800004</v>
      </c>
      <c r="C16" s="54">
        <f>'P3'!F11</f>
        <v>2224993980.4320002</v>
      </c>
      <c r="D16" s="54">
        <f>'P3'!G11</f>
        <v>2224993980.4320002</v>
      </c>
      <c r="E16" s="54">
        <f>'P3'!H11</f>
        <v>2224993980.4320002</v>
      </c>
      <c r="F16" s="54">
        <f>'P3'!I11</f>
        <v>2224993980.4320002</v>
      </c>
      <c r="G16" s="54">
        <f>'P3'!J11</f>
        <v>2224993980.4320002</v>
      </c>
      <c r="H16" s="54">
        <f>'P3'!K11</f>
        <v>2224993980.4320002</v>
      </c>
      <c r="I16" s="54">
        <f>'P3'!L11</f>
        <v>2224993980.4320002</v>
      </c>
      <c r="J16" s="54">
        <f>'P3'!M11</f>
        <v>2224993980.4320002</v>
      </c>
      <c r="K16" s="54">
        <f>'P3'!N11</f>
        <v>2224993980.4320002</v>
      </c>
      <c r="L16" s="54">
        <f>'P3'!O11</f>
        <v>975729295.12</v>
      </c>
      <c r="M16" s="54">
        <f>'P3'!P11</f>
        <v>975729295.12</v>
      </c>
      <c r="N16" s="54">
        <f>'P3'!Q11</f>
        <v>975729295.12</v>
      </c>
      <c r="O16" s="54">
        <f>'P3'!R11</f>
        <v>975729295.12</v>
      </c>
      <c r="P16" s="54">
        <f>'P3'!S11</f>
        <v>975729295.12</v>
      </c>
      <c r="Q16" s="54">
        <f>'P3'!T11</f>
        <v>975729295.12</v>
      </c>
      <c r="R16" s="54">
        <f>'P3'!U11</f>
        <v>975729295.12</v>
      </c>
      <c r="S16" s="54">
        <f>'P3'!V11</f>
        <v>975729295.12</v>
      </c>
      <c r="T16" s="54">
        <f>'P3'!W11</f>
        <v>975729295.12</v>
      </c>
      <c r="U16" s="54">
        <f>'P3'!X11</f>
        <v>975729295.12</v>
      </c>
      <c r="V16" s="54">
        <f>'P3'!Y11</f>
        <v>30338487270.195988</v>
      </c>
      <c r="W16" s="217">
        <f t="shared" ref="W16:W17" si="1">V16/V$42</f>
        <v>1.0168424230149888E-2</v>
      </c>
    </row>
    <row r="17" spans="1:23" s="203" customFormat="1" x14ac:dyDescent="0.2">
      <c r="A17" s="205" t="str">
        <f>'PPP_V3_y Costos'!D10</f>
        <v>3.5. Mejora del entorno productivo para las grandes inversiones en las regiones maiceras.</v>
      </c>
      <c r="B17" s="54">
        <f>'P3'!E12</f>
        <v>449972240.63399994</v>
      </c>
      <c r="C17" s="54">
        <f>'P3'!F12</f>
        <v>599962987.51199996</v>
      </c>
      <c r="D17" s="54">
        <f>'P3'!G12</f>
        <v>599962987.51199996</v>
      </c>
      <c r="E17" s="54">
        <f>'P3'!H12</f>
        <v>599962987.51199996</v>
      </c>
      <c r="F17" s="54">
        <f>'P3'!I12</f>
        <v>599962987.51199996</v>
      </c>
      <c r="G17" s="54">
        <f>'P3'!J12</f>
        <v>599962987.51199996</v>
      </c>
      <c r="H17" s="54">
        <f>'P3'!K12</f>
        <v>520767288</v>
      </c>
      <c r="I17" s="54">
        <f>'P3'!L12</f>
        <v>520767288</v>
      </c>
      <c r="J17" s="54">
        <f>'P3'!M12</f>
        <v>520767288</v>
      </c>
      <c r="K17" s="54">
        <f>'P3'!N12</f>
        <v>520767288</v>
      </c>
      <c r="L17" s="54">
        <f>'P3'!O12</f>
        <v>520767288</v>
      </c>
      <c r="M17" s="54">
        <f>'P3'!P12</f>
        <v>520767288</v>
      </c>
      <c r="N17" s="54">
        <f>'P3'!Q12</f>
        <v>520767288</v>
      </c>
      <c r="O17" s="54">
        <f>'P3'!R12</f>
        <v>520767288</v>
      </c>
      <c r="P17" s="54">
        <f>'P3'!S12</f>
        <v>520767288</v>
      </c>
      <c r="Q17" s="54">
        <f>'P3'!T12</f>
        <v>520767288</v>
      </c>
      <c r="R17" s="54">
        <f>'P3'!U12</f>
        <v>520767288</v>
      </c>
      <c r="S17" s="54">
        <f>'P3'!V12</f>
        <v>520767288</v>
      </c>
      <c r="T17" s="54">
        <f>'P3'!W12</f>
        <v>520767288</v>
      </c>
      <c r="U17" s="54">
        <f>'P3'!X12</f>
        <v>520767288</v>
      </c>
      <c r="V17" s="54">
        <f>'P3'!Y12</f>
        <v>10740529210.194</v>
      </c>
      <c r="W17" s="217">
        <f t="shared" si="1"/>
        <v>3.5998583743778001E-3</v>
      </c>
    </row>
    <row r="18" spans="1:23" s="203" customFormat="1" ht="15" x14ac:dyDescent="0.2">
      <c r="A18" s="202" t="str">
        <f>'PPP_V3_y Costos'!C11</f>
        <v xml:space="preserve">4. Mejora de la gestión del agua y del suelo en el cultivo de maíz. </v>
      </c>
      <c r="B18" s="166">
        <f>'P4'!E7</f>
        <v>706550282.5</v>
      </c>
      <c r="C18" s="166">
        <f>'P4'!F7</f>
        <v>8510793005.000001</v>
      </c>
      <c r="D18" s="166">
        <f>'P4'!G7</f>
        <v>8510793005.000001</v>
      </c>
      <c r="E18" s="166">
        <f>'P4'!H7</f>
        <v>8098854387.000001</v>
      </c>
      <c r="F18" s="166">
        <f>'P4'!I7</f>
        <v>7686915769.000001</v>
      </c>
      <c r="G18" s="166">
        <f>'P4'!J7</f>
        <v>5890561184.000001</v>
      </c>
      <c r="H18" s="166">
        <f>'P4'!K7</f>
        <v>5684591875.000001</v>
      </c>
      <c r="I18" s="166">
        <f>'P4'!L7</f>
        <v>5890561184.000001</v>
      </c>
      <c r="J18" s="166">
        <f>'P4'!M7</f>
        <v>5684591875.000001</v>
      </c>
      <c r="K18" s="166">
        <f>'P4'!N7</f>
        <v>5890561184.000001</v>
      </c>
      <c r="L18" s="166">
        <f>'P4'!O7</f>
        <v>5684591875.000001</v>
      </c>
      <c r="M18" s="166">
        <f>'P4'!P7</f>
        <v>4203061184.000001</v>
      </c>
      <c r="N18" s="166">
        <f>'P4'!Q7</f>
        <v>3997091875.000001</v>
      </c>
      <c r="O18" s="166">
        <f>'P4'!R7</f>
        <v>3997091875.000001</v>
      </c>
      <c r="P18" s="166">
        <f>'P4'!S7</f>
        <v>3997091875.000001</v>
      </c>
      <c r="Q18" s="166">
        <f>'P4'!T7</f>
        <v>3997091875.000001</v>
      </c>
      <c r="R18" s="166">
        <f>'P4'!U7</f>
        <v>3997091875.000001</v>
      </c>
      <c r="S18" s="166">
        <f>'P4'!V7</f>
        <v>3997091875.000001</v>
      </c>
      <c r="T18" s="166">
        <f>'P4'!W7</f>
        <v>3997091875.000001</v>
      </c>
      <c r="U18" s="166">
        <f>'P4'!X7</f>
        <v>3997091875.000001</v>
      </c>
      <c r="V18" s="166">
        <f>'P4'!Y7</f>
        <v>104419161809.5</v>
      </c>
      <c r="W18" s="310">
        <f t="shared" ref="W18:W27" si="2">V18/V$42</f>
        <v>3.4997734909437445E-2</v>
      </c>
    </row>
    <row r="19" spans="1:23" s="203" customFormat="1" x14ac:dyDescent="0.2">
      <c r="A19" s="204" t="str">
        <f>'PPP_V3_y Costos'!D11</f>
        <v>4.1. Contribución a la gestión del ordenamiento ambiental, fuera de la frontera agrícola.</v>
      </c>
      <c r="B19" s="54">
        <f>'P4'!E8</f>
        <v>205969309</v>
      </c>
      <c r="C19" s="54">
        <f>'P4'!F8</f>
        <v>823877236</v>
      </c>
      <c r="D19" s="54">
        <f>'P4'!G8</f>
        <v>823877236</v>
      </c>
      <c r="E19" s="54">
        <f>'P4'!H8</f>
        <v>411938618</v>
      </c>
      <c r="F19" s="54">
        <f>'P4'!I8</f>
        <v>0</v>
      </c>
      <c r="G19" s="54">
        <f>'P4'!J8</f>
        <v>205969309</v>
      </c>
      <c r="H19" s="54">
        <f>'P4'!K8</f>
        <v>0</v>
      </c>
      <c r="I19" s="54">
        <f>'P4'!L8</f>
        <v>205969309</v>
      </c>
      <c r="J19" s="54">
        <f>'P4'!M8</f>
        <v>0</v>
      </c>
      <c r="K19" s="54">
        <f>'P4'!N8</f>
        <v>205969309</v>
      </c>
      <c r="L19" s="54">
        <f>'P4'!O8</f>
        <v>0</v>
      </c>
      <c r="M19" s="54">
        <f>'P4'!P8</f>
        <v>205969309</v>
      </c>
      <c r="N19" s="54">
        <f>'P4'!Q8</f>
        <v>0</v>
      </c>
      <c r="O19" s="54">
        <f>'P4'!R8</f>
        <v>0</v>
      </c>
      <c r="P19" s="54">
        <f>'P4'!S8</f>
        <v>0</v>
      </c>
      <c r="Q19" s="54">
        <f>'P4'!T8</f>
        <v>0</v>
      </c>
      <c r="R19" s="54">
        <f>'P4'!U8</f>
        <v>0</v>
      </c>
      <c r="S19" s="54">
        <f>'P4'!V8</f>
        <v>0</v>
      </c>
      <c r="T19" s="54">
        <f>'P4'!W8</f>
        <v>0</v>
      </c>
      <c r="U19" s="54">
        <f>'P4'!X8</f>
        <v>0</v>
      </c>
      <c r="V19" s="54">
        <f>'P4'!Y8</f>
        <v>3089539635</v>
      </c>
      <c r="W19" s="217">
        <f t="shared" si="2"/>
        <v>1.0355081123443071E-3</v>
      </c>
    </row>
    <row r="20" spans="1:23" s="203" customFormat="1" x14ac:dyDescent="0.2">
      <c r="A20" s="204" t="str">
        <f>'PPP_V3_y Costos'!D12</f>
        <v>4.2. Promoción del manejo eficiente del suelo y del agua, en la producción de maíz.</v>
      </c>
      <c r="B20" s="54">
        <f>'P4'!E9</f>
        <v>500580973.5</v>
      </c>
      <c r="C20" s="54">
        <f>'P4'!F9</f>
        <v>7686915769.000001</v>
      </c>
      <c r="D20" s="54">
        <f>'P4'!G9</f>
        <v>7686915769.000001</v>
      </c>
      <c r="E20" s="54">
        <f>'P4'!H9</f>
        <v>7686915769.000001</v>
      </c>
      <c r="F20" s="54">
        <f>'P4'!I9</f>
        <v>7686915769.000001</v>
      </c>
      <c r="G20" s="54">
        <f>'P4'!J9</f>
        <v>5684591875.000001</v>
      </c>
      <c r="H20" s="54">
        <f>'P4'!K9</f>
        <v>5684591875.000001</v>
      </c>
      <c r="I20" s="54">
        <f>'P4'!L9</f>
        <v>5684591875.000001</v>
      </c>
      <c r="J20" s="54">
        <f>'P4'!M9</f>
        <v>5684591875.000001</v>
      </c>
      <c r="K20" s="54">
        <f>'P4'!N9</f>
        <v>5684591875.000001</v>
      </c>
      <c r="L20" s="54">
        <f>'P4'!O9</f>
        <v>5684591875.000001</v>
      </c>
      <c r="M20" s="54">
        <f>'P4'!P9</f>
        <v>3997091875.000001</v>
      </c>
      <c r="N20" s="54">
        <f>'P4'!Q9</f>
        <v>3997091875.000001</v>
      </c>
      <c r="O20" s="54">
        <f>'P4'!R9</f>
        <v>3997091875.000001</v>
      </c>
      <c r="P20" s="54">
        <f>'P4'!S9</f>
        <v>3997091875.000001</v>
      </c>
      <c r="Q20" s="54">
        <f>'P4'!T9</f>
        <v>3997091875.000001</v>
      </c>
      <c r="R20" s="54">
        <f>'P4'!U9</f>
        <v>3997091875.000001</v>
      </c>
      <c r="S20" s="54">
        <f>'P4'!V9</f>
        <v>3997091875.000001</v>
      </c>
      <c r="T20" s="54">
        <f>'P4'!W9</f>
        <v>3997091875.000001</v>
      </c>
      <c r="U20" s="54">
        <f>'P4'!X9</f>
        <v>3997091875.000001</v>
      </c>
      <c r="V20" s="54">
        <f>'P4'!Y9</f>
        <v>101329622174.50002</v>
      </c>
      <c r="W20" s="217">
        <f t="shared" si="2"/>
        <v>3.396222679709314E-2</v>
      </c>
    </row>
    <row r="21" spans="1:23" s="203" customFormat="1" ht="22.5" customHeight="1" x14ac:dyDescent="0.2">
      <c r="A21" s="202" t="str">
        <f>'PPP_V3_y Costos'!C13</f>
        <v xml:space="preserve">5. Fortalecimiento de la gestión ambiental en la cadena maicera.
</v>
      </c>
      <c r="B21" s="166">
        <f>'P5'!E7</f>
        <v>674788448.37700009</v>
      </c>
      <c r="C21" s="166">
        <f>'P5'!F7</f>
        <v>2699153793.5080004</v>
      </c>
      <c r="D21" s="166">
        <f>'P5'!G7</f>
        <v>2699153793.5080004</v>
      </c>
      <c r="E21" s="166">
        <f>'P5'!H7</f>
        <v>2024365345.1310003</v>
      </c>
      <c r="F21" s="166">
        <f>'P5'!I7</f>
        <v>0</v>
      </c>
      <c r="G21" s="166">
        <f>'P5'!J7</f>
        <v>0</v>
      </c>
      <c r="H21" s="166">
        <f>'P5'!K7</f>
        <v>2699153793.5080004</v>
      </c>
      <c r="I21" s="166">
        <f>'P5'!L7</f>
        <v>0</v>
      </c>
      <c r="J21" s="166">
        <f>'P5'!M7</f>
        <v>0</v>
      </c>
      <c r="K21" s="166">
        <f>'P5'!N7</f>
        <v>2699153793.5080004</v>
      </c>
      <c r="L21" s="166">
        <f>'P5'!O7</f>
        <v>0</v>
      </c>
      <c r="M21" s="166">
        <f>'P5'!P7</f>
        <v>0</v>
      </c>
      <c r="N21" s="166">
        <f>'P5'!Q7</f>
        <v>2699153793.5080004</v>
      </c>
      <c r="O21" s="166">
        <f>'P5'!R7</f>
        <v>0</v>
      </c>
      <c r="P21" s="166">
        <f>'P5'!S7</f>
        <v>0</v>
      </c>
      <c r="Q21" s="166">
        <f>'P5'!T7</f>
        <v>2699153793.5080004</v>
      </c>
      <c r="R21" s="166">
        <f>'P5'!U7</f>
        <v>0</v>
      </c>
      <c r="S21" s="166">
        <f>'P5'!V7</f>
        <v>0</v>
      </c>
      <c r="T21" s="166">
        <f>'P5'!W7</f>
        <v>2699153793.5080004</v>
      </c>
      <c r="U21" s="166">
        <f>'P5'!X7</f>
        <v>0</v>
      </c>
      <c r="V21" s="166">
        <f>'P5'!Y7</f>
        <v>21593230348.063999</v>
      </c>
      <c r="W21" s="310">
        <f t="shared" si="2"/>
        <v>7.2373129458620979E-3</v>
      </c>
    </row>
    <row r="22" spans="1:23" s="203" customFormat="1" x14ac:dyDescent="0.2">
      <c r="A22" s="204" t="str">
        <f>'PPP_V3_y Costos'!D13</f>
        <v>5.1. Mejora del desempeño ambiental de la cadena de maíz.</v>
      </c>
      <c r="B22" s="54">
        <f>'P5'!E8</f>
        <v>674788448.37700009</v>
      </c>
      <c r="C22" s="54">
        <f>'P5'!F8</f>
        <v>2699153793.5080004</v>
      </c>
      <c r="D22" s="54">
        <f>'P5'!G8</f>
        <v>2699153793.5080004</v>
      </c>
      <c r="E22" s="54">
        <f>'P5'!H8</f>
        <v>2024365345.1310003</v>
      </c>
      <c r="F22" s="54" t="str">
        <f>'P5'!I8</f>
        <v>Por definir</v>
      </c>
      <c r="G22" s="54" t="str">
        <f>'P5'!J8</f>
        <v>Por definir</v>
      </c>
      <c r="H22" s="54">
        <f>'P5'!K8</f>
        <v>2699153793.5080004</v>
      </c>
      <c r="I22" s="54" t="str">
        <f>'P5'!L8</f>
        <v>Por definir</v>
      </c>
      <c r="J22" s="54" t="str">
        <f>'P5'!M8</f>
        <v>Por definir</v>
      </c>
      <c r="K22" s="54">
        <f>'P5'!N8</f>
        <v>2699153793.5080004</v>
      </c>
      <c r="L22" s="54" t="str">
        <f>'P5'!O8</f>
        <v>Por definir</v>
      </c>
      <c r="M22" s="54" t="str">
        <f>'P5'!P8</f>
        <v>Por definir</v>
      </c>
      <c r="N22" s="54">
        <f>'P5'!Q8</f>
        <v>2699153793.5080004</v>
      </c>
      <c r="O22" s="54" t="str">
        <f>'P5'!R8</f>
        <v>Por definir</v>
      </c>
      <c r="P22" s="54" t="str">
        <f>'P5'!S8</f>
        <v>Por definir</v>
      </c>
      <c r="Q22" s="54">
        <f>'P5'!T8</f>
        <v>2699153793.5080004</v>
      </c>
      <c r="R22" s="54" t="str">
        <f>'P5'!U8</f>
        <v>Por definir</v>
      </c>
      <c r="S22" s="54" t="str">
        <f>'P5'!V8</f>
        <v>Por definir</v>
      </c>
      <c r="T22" s="54">
        <f>'P5'!W8</f>
        <v>2699153793.5080004</v>
      </c>
      <c r="U22" s="54" t="str">
        <f>'P5'!X8</f>
        <v>Por definir</v>
      </c>
      <c r="V22" s="54">
        <f>'P5'!Y8</f>
        <v>21593230348.063999</v>
      </c>
      <c r="W22" s="217">
        <f t="shared" si="2"/>
        <v>7.2373129458620979E-3</v>
      </c>
    </row>
    <row r="23" spans="1:23" s="203" customFormat="1" ht="30" x14ac:dyDescent="0.2">
      <c r="A23" s="202" t="str">
        <f>'PPP_V3_y Costos'!C14</f>
        <v xml:space="preserve">6. Contribución al mejoramiento en las condiciones de vida de la población vinculada a la cadena de maíz. </v>
      </c>
      <c r="B23" s="166">
        <f>'P6'!E7</f>
        <v>1959455896.0999999</v>
      </c>
      <c r="C23" s="166">
        <f>'P6'!F7</f>
        <v>12710343817.51111</v>
      </c>
      <c r="D23" s="166">
        <f>'P6'!G7</f>
        <v>12514667742.844444</v>
      </c>
      <c r="E23" s="166">
        <f>'P6'!H7</f>
        <v>11731957546.657778</v>
      </c>
      <c r="F23" s="166">
        <f>'P6'!I7</f>
        <v>11559058167.082312</v>
      </c>
      <c r="G23" s="166">
        <f>'P6'!J7</f>
        <v>11396532750.281372</v>
      </c>
      <c r="H23" s="166">
        <f>'P6'!K7</f>
        <v>11842533544.488489</v>
      </c>
      <c r="I23" s="166">
        <f>'P6'!L7</f>
        <v>11100151400.20318</v>
      </c>
      <c r="J23" s="166">
        <f>'P6'!M7</f>
        <v>10965160389.414989</v>
      </c>
      <c r="K23" s="166">
        <f>'P6'!N7</f>
        <v>10838268839.27409</v>
      </c>
      <c r="L23" s="166">
        <f>'P6'!O7</f>
        <v>11317765468.141645</v>
      </c>
      <c r="M23" s="166">
        <f>'P6'!P7</f>
        <v>10606869408.437147</v>
      </c>
      <c r="N23" s="166">
        <f>'P6'!Q7</f>
        <v>10501475317.154917</v>
      </c>
      <c r="O23" s="166">
        <f>'P6'!R7</f>
        <v>10402404871.349623</v>
      </c>
      <c r="P23" s="166">
        <f>'P6'!S7</f>
        <v>10908053338.292645</v>
      </c>
      <c r="Q23" s="166">
        <f>'P6'!T7</f>
        <v>10221740006.379086</v>
      </c>
      <c r="R23" s="166">
        <f>'P6'!U7</f>
        <v>10139453679.220341</v>
      </c>
      <c r="S23" s="166">
        <f>'P6'!V7</f>
        <v>10062104531.69112</v>
      </c>
      <c r="T23" s="166">
        <f>'P6'!W7</f>
        <v>10588171019.013653</v>
      </c>
      <c r="U23" s="166">
        <f>'P6'!X7</f>
        <v>7454295919.8568344</v>
      </c>
      <c r="V23" s="166">
        <f>'P6'!Y7</f>
        <v>208820463653.39481</v>
      </c>
      <c r="W23" s="310">
        <f t="shared" si="2"/>
        <v>6.9989483768700664E-2</v>
      </c>
    </row>
    <row r="24" spans="1:23" s="203" customFormat="1" x14ac:dyDescent="0.2">
      <c r="A24" s="204" t="str">
        <f>'PPP_V3_y Costos'!D14</f>
        <v>6.1  Promoción de la atención de las necesidades básicas de los actores vinculados a la cadena.</v>
      </c>
      <c r="B24" s="54">
        <f>'P6'!E8</f>
        <v>839055476</v>
      </c>
      <c r="C24" s="54">
        <f>'P6'!F8</f>
        <v>3356221904</v>
      </c>
      <c r="D24" s="54">
        <f>'P6'!G8</f>
        <v>3356221904</v>
      </c>
      <c r="E24" s="54">
        <f>'P6'!H8</f>
        <v>3356221904</v>
      </c>
      <c r="F24" s="54">
        <f>'P6'!I8</f>
        <v>3356221904</v>
      </c>
      <c r="G24" s="54">
        <f>'P6'!J8</f>
        <v>3356221904</v>
      </c>
      <c r="H24" s="54">
        <f>'P6'!K8</f>
        <v>3356221904</v>
      </c>
      <c r="I24" s="54">
        <f>'P6'!L8</f>
        <v>3356221904</v>
      </c>
      <c r="J24" s="54">
        <f>'P6'!M8</f>
        <v>3356221904</v>
      </c>
      <c r="K24" s="54">
        <f>'P6'!N8</f>
        <v>3356221904</v>
      </c>
      <c r="L24" s="54">
        <f>'P6'!O8</f>
        <v>3356221904</v>
      </c>
      <c r="M24" s="54">
        <f>'P6'!P8</f>
        <v>3356221904</v>
      </c>
      <c r="N24" s="54">
        <f>'P6'!Q8</f>
        <v>3356221904</v>
      </c>
      <c r="O24" s="54">
        <f>'P6'!R8</f>
        <v>3356221904</v>
      </c>
      <c r="P24" s="54">
        <f>'P6'!S8</f>
        <v>3356221904</v>
      </c>
      <c r="Q24" s="54">
        <f>'P6'!T8</f>
        <v>3356221904</v>
      </c>
      <c r="R24" s="54">
        <f>'P6'!U8</f>
        <v>3356221904</v>
      </c>
      <c r="S24" s="54">
        <f>'P6'!V8</f>
        <v>3356221904</v>
      </c>
      <c r="T24" s="54">
        <f>'P6'!W8</f>
        <v>3356221904</v>
      </c>
      <c r="U24" s="54">
        <f>'P6'!X8</f>
        <v>3356221904</v>
      </c>
      <c r="V24" s="54">
        <f>'P6'!Y8</f>
        <v>64607271652</v>
      </c>
      <c r="W24" s="217">
        <f t="shared" si="2"/>
        <v>2.1654149749102795E-2</v>
      </c>
    </row>
    <row r="25" spans="1:23" s="203" customFormat="1" x14ac:dyDescent="0.2">
      <c r="A25" s="204" t="str">
        <f>'P6'!B9</f>
        <v>6.2. Contribución al incremento del nivel educativo de los actores vinculados a la cadena.</v>
      </c>
      <c r="B25" s="54">
        <f>'P6'!E9</f>
        <v>177009036</v>
      </c>
      <c r="C25" s="54">
        <f>'P6'!F9</f>
        <v>708036144</v>
      </c>
      <c r="D25" s="54">
        <f>'P6'!G9</f>
        <v>708036144</v>
      </c>
      <c r="E25" s="54">
        <f>'P6'!H9</f>
        <v>708036144</v>
      </c>
      <c r="F25" s="54">
        <f>'P6'!I9</f>
        <v>708036144</v>
      </c>
      <c r="G25" s="54">
        <f>'P6'!J9</f>
        <v>708036144</v>
      </c>
      <c r="H25" s="54">
        <f>'P6'!K9</f>
        <v>708036144</v>
      </c>
      <c r="I25" s="54">
        <f>'P6'!L9</f>
        <v>708036144</v>
      </c>
      <c r="J25" s="54">
        <f>'P6'!M9</f>
        <v>708036144</v>
      </c>
      <c r="K25" s="54">
        <f>'P6'!N9</f>
        <v>708036144</v>
      </c>
      <c r="L25" s="54">
        <f>'P6'!O9</f>
        <v>708036144</v>
      </c>
      <c r="M25" s="54">
        <f>'P6'!P9</f>
        <v>708036144</v>
      </c>
      <c r="N25" s="54">
        <f>'P6'!Q9</f>
        <v>708036144</v>
      </c>
      <c r="O25" s="54">
        <f>'P6'!R9</f>
        <v>708036144</v>
      </c>
      <c r="P25" s="54">
        <f>'P6'!S9</f>
        <v>708036144</v>
      </c>
      <c r="Q25" s="54">
        <f>'P6'!T9</f>
        <v>708036144</v>
      </c>
      <c r="R25" s="54">
        <f>'P6'!U9</f>
        <v>708036144</v>
      </c>
      <c r="S25" s="54">
        <f>'P6'!V9</f>
        <v>708036144</v>
      </c>
      <c r="T25" s="54">
        <f>'P6'!W9</f>
        <v>708036144</v>
      </c>
      <c r="U25" s="54">
        <f>'P6'!X9</f>
        <v>708036144</v>
      </c>
      <c r="V25" s="54">
        <f>'P6'!Y9</f>
        <v>13629695772</v>
      </c>
      <c r="W25" s="217">
        <f t="shared" si="2"/>
        <v>4.5682082795778425E-3</v>
      </c>
    </row>
    <row r="26" spans="1:23" s="203" customFormat="1" x14ac:dyDescent="0.2">
      <c r="A26" s="204" t="str">
        <f>'P6'!B10</f>
        <v>6.3. Mejora en las capacidades técnicas de los agentes económicos de la cadena</v>
      </c>
      <c r="B26" s="54">
        <f>'P6'!E10</f>
        <v>177009036</v>
      </c>
      <c r="C26" s="54">
        <f>'P6'!F10</f>
        <v>5580556377.1111107</v>
      </c>
      <c r="D26" s="54">
        <f>'P6'!G10</f>
        <v>5384880302.4444447</v>
      </c>
      <c r="E26" s="54">
        <f>'P6'!H10</f>
        <v>5200944792.2577782</v>
      </c>
      <c r="F26" s="54">
        <f>'P6'!I10</f>
        <v>5028045412.6823111</v>
      </c>
      <c r="G26" s="54">
        <f>'P6'!J10</f>
        <v>4865519995.8813725</v>
      </c>
      <c r="H26" s="54">
        <f>'P6'!K10</f>
        <v>4712746104.0884895</v>
      </c>
      <c r="I26" s="54">
        <f>'P6'!L10</f>
        <v>4569138645.8031807</v>
      </c>
      <c r="J26" s="54">
        <f>'P6'!M10</f>
        <v>4434147635.0149899</v>
      </c>
      <c r="K26" s="54">
        <f>'P6'!N10</f>
        <v>4307256084.8740902</v>
      </c>
      <c r="L26" s="54">
        <f>'P6'!O10</f>
        <v>4187978027.7416449</v>
      </c>
      <c r="M26" s="54">
        <f>'P6'!P10</f>
        <v>4075856654.0371466</v>
      </c>
      <c r="N26" s="54">
        <f>'P6'!Q10</f>
        <v>3970462562.7549176</v>
      </c>
      <c r="O26" s="54">
        <f>'P6'!R10</f>
        <v>3871392116.9496226</v>
      </c>
      <c r="P26" s="54">
        <f>'P6'!S10</f>
        <v>3778265897.8926454</v>
      </c>
      <c r="Q26" s="54">
        <f>'P6'!T10</f>
        <v>3690727251.9790864</v>
      </c>
      <c r="R26" s="54">
        <f>'P6'!U10</f>
        <v>3608440924.8203416</v>
      </c>
      <c r="S26" s="54">
        <f>'P6'!V10</f>
        <v>3531091777.291121</v>
      </c>
      <c r="T26" s="54">
        <f>'P6'!W10</f>
        <v>3458383578.6136537</v>
      </c>
      <c r="U26" s="54">
        <f>'P6'!X10</f>
        <v>3390037871.8568344</v>
      </c>
      <c r="V26" s="54">
        <f>'P6'!Y10</f>
        <v>81822881050.094788</v>
      </c>
      <c r="W26" s="217">
        <f t="shared" si="2"/>
        <v>2.7424233741140027E-2</v>
      </c>
    </row>
    <row r="27" spans="1:23" s="203" customFormat="1" ht="28.5" x14ac:dyDescent="0.2">
      <c r="A27" s="204" t="str">
        <f>'P6'!B11</f>
        <v>6.4. Promoción de la generación del empleo formal y la mejora de las condiciones laborales a lo largo de la cadena.</v>
      </c>
      <c r="B27" s="54">
        <f>'P6'!E11</f>
        <v>616688676.60000002</v>
      </c>
      <c r="C27" s="54">
        <f>'P6'!F11</f>
        <v>2466754706.4000001</v>
      </c>
      <c r="D27" s="54">
        <f>'P6'!G11</f>
        <v>2466754706.4000001</v>
      </c>
      <c r="E27" s="54">
        <f>'P6'!H11</f>
        <v>2466754706.4000001</v>
      </c>
      <c r="F27" s="54">
        <f>'P6'!I11</f>
        <v>2466754706.4000001</v>
      </c>
      <c r="G27" s="54">
        <f>'P6'!J11</f>
        <v>2466754706.4000001</v>
      </c>
      <c r="H27" s="54">
        <f>'P6'!K11</f>
        <v>2466754706.4000001</v>
      </c>
      <c r="I27" s="54">
        <f>'P6'!L11</f>
        <v>2466754706.4000001</v>
      </c>
      <c r="J27" s="54">
        <f>'P6'!M11</f>
        <v>2466754706.4000001</v>
      </c>
      <c r="K27" s="54">
        <f>'P6'!N11</f>
        <v>2466754706.4000001</v>
      </c>
      <c r="L27" s="54">
        <f>'P6'!O11</f>
        <v>2466754706.4000001</v>
      </c>
      <c r="M27" s="54">
        <f>'P6'!P11</f>
        <v>2466754706.4000001</v>
      </c>
      <c r="N27" s="54">
        <f>'P6'!Q11</f>
        <v>2466754706.4000001</v>
      </c>
      <c r="O27" s="54">
        <f>'P6'!R11</f>
        <v>2466754706.4000001</v>
      </c>
      <c r="P27" s="54">
        <f>'P6'!S11</f>
        <v>2466754706.4000001</v>
      </c>
      <c r="Q27" s="54">
        <f>'P6'!T11</f>
        <v>2466754706.4000001</v>
      </c>
      <c r="R27" s="54">
        <f>'P6'!U11</f>
        <v>2466754706.4000001</v>
      </c>
      <c r="S27" s="54">
        <f>'P6'!V11</f>
        <v>2466754706.4000001</v>
      </c>
      <c r="T27" s="54">
        <f>'P6'!W11</f>
        <v>2466754706.4000001</v>
      </c>
      <c r="U27" s="54">
        <f>'P6'!X11</f>
        <v>0</v>
      </c>
      <c r="V27" s="54">
        <f>'P6'!Y11</f>
        <v>45018273391.800011</v>
      </c>
      <c r="W27" s="217">
        <f t="shared" si="2"/>
        <v>1.5088586912057136E-2</v>
      </c>
    </row>
    <row r="28" spans="1:23" s="203" customFormat="1" ht="28.5" x14ac:dyDescent="0.2">
      <c r="A28" s="204" t="str">
        <f>'P6'!B12</f>
        <v>6.5. Contribución a la mejora de condiciones de conectividad vial y de servicios públicos, en las regiones maiceras.</v>
      </c>
      <c r="B28" s="54">
        <f>'P6'!E12</f>
        <v>149693671.5</v>
      </c>
      <c r="C28" s="54">
        <f>'P6'!F12</f>
        <v>598774686</v>
      </c>
      <c r="D28" s="54">
        <f>'P6'!G12</f>
        <v>598774686</v>
      </c>
      <c r="E28" s="54">
        <f>'P6'!H12</f>
        <v>0</v>
      </c>
      <c r="F28" s="54">
        <f>'P6'!I12</f>
        <v>0</v>
      </c>
      <c r="G28" s="54">
        <f>'P6'!J12</f>
        <v>0</v>
      </c>
      <c r="H28" s="54">
        <f>'P6'!K12</f>
        <v>598774686</v>
      </c>
      <c r="I28" s="54">
        <f>'P6'!L12</f>
        <v>0</v>
      </c>
      <c r="J28" s="54">
        <f>'P6'!M12</f>
        <v>0</v>
      </c>
      <c r="K28" s="54">
        <f>'P6'!N12</f>
        <v>0</v>
      </c>
      <c r="L28" s="54">
        <f>'P6'!O12</f>
        <v>598774686</v>
      </c>
      <c r="M28" s="54">
        <f>'P6'!P12</f>
        <v>0</v>
      </c>
      <c r="N28" s="54">
        <f>'P6'!Q12</f>
        <v>0</v>
      </c>
      <c r="O28" s="54">
        <f>'P6'!R12</f>
        <v>0</v>
      </c>
      <c r="P28" s="54">
        <f>'P6'!S12</f>
        <v>598774686</v>
      </c>
      <c r="Q28" s="54">
        <f>'P6'!T12</f>
        <v>0</v>
      </c>
      <c r="R28" s="54">
        <f>'P6'!U12</f>
        <v>0</v>
      </c>
      <c r="S28" s="54">
        <f>'P6'!V12</f>
        <v>0</v>
      </c>
      <c r="T28" s="54">
        <f>'P6'!W12</f>
        <v>598774686</v>
      </c>
      <c r="U28" s="54">
        <f>'P6'!X12</f>
        <v>0</v>
      </c>
      <c r="V28" s="54">
        <f>'P6'!Y12</f>
        <v>3742341787.5</v>
      </c>
      <c r="W28" s="217"/>
    </row>
    <row r="29" spans="1:23" s="203" customFormat="1" ht="15" x14ac:dyDescent="0.2">
      <c r="A29" s="202" t="str">
        <f>'P7'!B4</f>
        <v>7. Contribución al ordenamiento productivo y social de la propiedad.</v>
      </c>
      <c r="B29" s="166">
        <f>'P7'!E7</f>
        <v>714210270.5</v>
      </c>
      <c r="C29" s="166">
        <f>'P7'!F7</f>
        <v>2856841082</v>
      </c>
      <c r="D29" s="166">
        <f>'P7'!G7</f>
        <v>2856841082</v>
      </c>
      <c r="E29" s="166">
        <f>'P7'!H7</f>
        <v>2856841082</v>
      </c>
      <c r="F29" s="166">
        <f>'P7'!I7</f>
        <v>2856841082</v>
      </c>
      <c r="G29" s="166">
        <f>'P7'!J7</f>
        <v>2673166650</v>
      </c>
      <c r="H29" s="166">
        <f>'P7'!K7</f>
        <v>2673166650</v>
      </c>
      <c r="I29" s="166">
        <f>'P7'!L7</f>
        <v>2673166650</v>
      </c>
      <c r="J29" s="166">
        <f>'P7'!M7</f>
        <v>2673166650</v>
      </c>
      <c r="K29" s="166">
        <f>'P7'!N7</f>
        <v>2673166650</v>
      </c>
      <c r="L29" s="166">
        <f>'P7'!O7</f>
        <v>2673166650</v>
      </c>
      <c r="M29" s="166">
        <f>'P7'!P7</f>
        <v>2673166650</v>
      </c>
      <c r="N29" s="166">
        <f>'P7'!Q7</f>
        <v>2673166650</v>
      </c>
      <c r="O29" s="166">
        <f>'P7'!R7</f>
        <v>2673166650</v>
      </c>
      <c r="P29" s="166">
        <f>'P7'!S7</f>
        <v>2673166650</v>
      </c>
      <c r="Q29" s="166">
        <f>'P7'!T7</f>
        <v>2673166650</v>
      </c>
      <c r="R29" s="166">
        <f>'P7'!U7</f>
        <v>2673166650</v>
      </c>
      <c r="S29" s="166">
        <f>'P7'!V7</f>
        <v>2673166650</v>
      </c>
      <c r="T29" s="166">
        <f>'P7'!W7</f>
        <v>2673166650</v>
      </c>
      <c r="U29" s="166">
        <f>'P7'!X7</f>
        <v>2673166650</v>
      </c>
      <c r="V29" s="166">
        <f>'P7'!Y7</f>
        <v>52239074348.5</v>
      </c>
      <c r="W29" s="310">
        <f t="shared" ref="W29:W35" si="3">V29/V$42</f>
        <v>1.7508752649237062E-2</v>
      </c>
    </row>
    <row r="30" spans="1:23" s="203" customFormat="1" ht="28.5" x14ac:dyDescent="0.2">
      <c r="A30" s="204" t="str">
        <f>'P7'!B8</f>
        <v>7.1. Articulación con las políticas de ordenamiento productivo y social de la propiedad rural para el cultivo de maíz.</v>
      </c>
      <c r="B30" s="54"/>
      <c r="C30" s="54">
        <f>'P7'!F8</f>
        <v>739902990</v>
      </c>
      <c r="D30" s="54">
        <f>'P7'!G8</f>
        <v>739902990</v>
      </c>
      <c r="E30" s="54">
        <f>'P7'!H8</f>
        <v>739902990</v>
      </c>
      <c r="F30" s="54">
        <f>'P7'!I8</f>
        <v>739902990</v>
      </c>
      <c r="G30" s="54">
        <f>'P7'!J8</f>
        <v>739902990</v>
      </c>
      <c r="H30" s="54">
        <f>'P7'!K8</f>
        <v>739902990</v>
      </c>
      <c r="I30" s="54">
        <f>'P7'!L8</f>
        <v>739902990</v>
      </c>
      <c r="J30" s="54">
        <f>'P7'!M8</f>
        <v>739902990</v>
      </c>
      <c r="K30" s="54">
        <f>'P7'!N8</f>
        <v>739902990</v>
      </c>
      <c r="L30" s="54">
        <f>'P7'!O8</f>
        <v>739902990</v>
      </c>
      <c r="M30" s="54">
        <f>'P7'!P8</f>
        <v>739902990</v>
      </c>
      <c r="N30" s="54">
        <f>'P7'!Q8</f>
        <v>739902990</v>
      </c>
      <c r="O30" s="54">
        <f>'P7'!R8</f>
        <v>739902990</v>
      </c>
      <c r="P30" s="54">
        <f>'P7'!S8</f>
        <v>739902990</v>
      </c>
      <c r="Q30" s="54">
        <f>'P7'!T8</f>
        <v>739902990</v>
      </c>
      <c r="R30" s="54">
        <f>'P7'!U8</f>
        <v>739902990</v>
      </c>
      <c r="S30" s="54">
        <f>'P7'!V8</f>
        <v>739902990</v>
      </c>
      <c r="T30" s="54">
        <f>'P7'!W8</f>
        <v>739902990</v>
      </c>
      <c r="U30" s="54">
        <f>'P7'!X8</f>
        <v>739902990</v>
      </c>
      <c r="V30" s="54">
        <f>'P7'!Y8</f>
        <v>14243132557.5</v>
      </c>
      <c r="W30" s="217">
        <f t="shared" si="3"/>
        <v>4.7738113282002189E-3</v>
      </c>
    </row>
    <row r="31" spans="1:23" s="203" customFormat="1" ht="28.5" x14ac:dyDescent="0.2">
      <c r="A31" s="204" t="str">
        <f>'PPP_V3_y Costos'!D20</f>
        <v xml:space="preserve">7.2  Fortalecimiento en el acceso y la seguridad jurídica de los predios e inversiones para el cultivo de maíz. </v>
      </c>
      <c r="B31" s="54">
        <f>'P7'!E9</f>
        <v>529234523</v>
      </c>
      <c r="C31" s="54">
        <f>'P7'!F9</f>
        <v>2116938092</v>
      </c>
      <c r="D31" s="54">
        <f>'P7'!G9</f>
        <v>2116938092</v>
      </c>
      <c r="E31" s="54">
        <f>'P7'!H9</f>
        <v>2116938092</v>
      </c>
      <c r="F31" s="54">
        <f>'P7'!I9</f>
        <v>2116938092</v>
      </c>
      <c r="G31" s="54">
        <f>'P7'!J9</f>
        <v>1933263660</v>
      </c>
      <c r="H31" s="54">
        <f>'P7'!K9</f>
        <v>1933263660</v>
      </c>
      <c r="I31" s="54">
        <f>'P7'!L9</f>
        <v>1933263660</v>
      </c>
      <c r="J31" s="54">
        <f>'P7'!M9</f>
        <v>1933263660</v>
      </c>
      <c r="K31" s="54">
        <f>'P7'!N9</f>
        <v>1933263660</v>
      </c>
      <c r="L31" s="54">
        <f>'P7'!O9</f>
        <v>1933263660</v>
      </c>
      <c r="M31" s="54">
        <f>'P7'!P9</f>
        <v>1933263660</v>
      </c>
      <c r="N31" s="54">
        <f>'P7'!Q9</f>
        <v>1933263660</v>
      </c>
      <c r="O31" s="54">
        <f>'P7'!R9</f>
        <v>1933263660</v>
      </c>
      <c r="P31" s="54">
        <f>'P7'!S9</f>
        <v>1933263660</v>
      </c>
      <c r="Q31" s="54">
        <f>'P7'!T9</f>
        <v>1933263660</v>
      </c>
      <c r="R31" s="54">
        <f>'P7'!U9</f>
        <v>1933263660</v>
      </c>
      <c r="S31" s="54">
        <f>'P7'!V9</f>
        <v>1933263660</v>
      </c>
      <c r="T31" s="54">
        <f>'P7'!W9</f>
        <v>1933263660</v>
      </c>
      <c r="U31" s="54">
        <f>'P7'!X9</f>
        <v>1933263660</v>
      </c>
      <c r="V31" s="54">
        <f>'P7'!Y9</f>
        <v>37995941791</v>
      </c>
      <c r="W31" s="217">
        <f t="shared" si="3"/>
        <v>1.2734941321036843E-2</v>
      </c>
    </row>
    <row r="32" spans="1:23" s="203" customFormat="1" ht="15" x14ac:dyDescent="0.2">
      <c r="A32" s="202" t="str">
        <f>'PPP_V3_y Costos'!C21</f>
        <v>8. Fortalecimiento del desarrollo tecnológico y la innovación en la cadena de maíz.</v>
      </c>
      <c r="B32" s="166">
        <f>'P8'!E7</f>
        <v>1372151353.5009999</v>
      </c>
      <c r="C32" s="166">
        <f>'P8'!F7</f>
        <v>4006419856.0019999</v>
      </c>
      <c r="D32" s="166">
        <f>'P8'!G7</f>
        <v>4006419856.0019999</v>
      </c>
      <c r="E32" s="166">
        <f>'P8'!H7</f>
        <v>3375361281.5019999</v>
      </c>
      <c r="F32" s="166">
        <f>'P8'!I7</f>
        <v>1482185558.0020001</v>
      </c>
      <c r="G32" s="166">
        <f>'P8'!J7</f>
        <v>370546389.50050002</v>
      </c>
      <c r="H32" s="166">
        <f>'P8'!K7</f>
        <v>2524234298</v>
      </c>
      <c r="I32" s="166">
        <f>'P8'!L7</f>
        <v>0</v>
      </c>
      <c r="J32" s="166">
        <f>'P8'!M7</f>
        <v>0</v>
      </c>
      <c r="K32" s="166">
        <f>'P8'!N7</f>
        <v>2524234298</v>
      </c>
      <c r="L32" s="166">
        <f>'P8'!O7</f>
        <v>0</v>
      </c>
      <c r="M32" s="166">
        <f>'P8'!P7</f>
        <v>0</v>
      </c>
      <c r="N32" s="166">
        <f>'P8'!Q7</f>
        <v>2524234298</v>
      </c>
      <c r="O32" s="166">
        <f>'P8'!R7</f>
        <v>0</v>
      </c>
      <c r="P32" s="166">
        <f>'P8'!S7</f>
        <v>0</v>
      </c>
      <c r="Q32" s="166">
        <f>'P8'!T7</f>
        <v>2524234298</v>
      </c>
      <c r="R32" s="166">
        <f>'P8'!U7</f>
        <v>0</v>
      </c>
      <c r="S32" s="166">
        <f>'P8'!V7</f>
        <v>0</v>
      </c>
      <c r="T32" s="166">
        <f>'P8'!W7</f>
        <v>2524234298</v>
      </c>
      <c r="U32" s="166">
        <f>'P8'!X7</f>
        <v>0</v>
      </c>
      <c r="V32" s="166">
        <f>'P8'!Y7</f>
        <v>27234255784.509499</v>
      </c>
      <c r="W32" s="310">
        <f t="shared" si="3"/>
        <v>9.1279919114937852E-3</v>
      </c>
    </row>
    <row r="33" spans="1:23" s="203" customFormat="1" x14ac:dyDescent="0.2">
      <c r="A33" s="204" t="str">
        <f>'PPP_V3_y Costos'!D21</f>
        <v>8.1. Fortalecimiento de los procesos I+D+i para la cadena de maíz y sus derivados.</v>
      </c>
      <c r="B33" s="54">
        <f>'P8'!E8</f>
        <v>741092779.00100005</v>
      </c>
      <c r="C33" s="54">
        <f>'P8'!F8</f>
        <v>1482185558.0020001</v>
      </c>
      <c r="D33" s="54">
        <f>'P8'!G8</f>
        <v>1482185558.0020001</v>
      </c>
      <c r="E33" s="54">
        <f>'P8'!H8</f>
        <v>1482185558.0020001</v>
      </c>
      <c r="F33" s="54">
        <f>'P8'!I8</f>
        <v>1482185558.0020001</v>
      </c>
      <c r="G33" s="54">
        <f>'P8'!J8</f>
        <v>370546389.50050002</v>
      </c>
      <c r="H33" s="54" t="str">
        <f>'P8'!K8</f>
        <v>Por definir</v>
      </c>
      <c r="I33" s="54" t="str">
        <f>'P8'!L8</f>
        <v>Por definir</v>
      </c>
      <c r="J33" s="54" t="str">
        <f>'P8'!M8</f>
        <v>Por definir</v>
      </c>
      <c r="K33" s="54" t="str">
        <f>'P8'!N8</f>
        <v>Por definir</v>
      </c>
      <c r="L33" s="54" t="str">
        <f>'P8'!O8</f>
        <v>Por definir</v>
      </c>
      <c r="M33" s="54" t="str">
        <f>'P8'!P8</f>
        <v>Por definir</v>
      </c>
      <c r="N33" s="54" t="str">
        <f>'P8'!Q8</f>
        <v>Por definir</v>
      </c>
      <c r="O33" s="54" t="str">
        <f>'P8'!R8</f>
        <v>Por definir</v>
      </c>
      <c r="P33" s="54" t="str">
        <f>'P8'!S8</f>
        <v>Por definir</v>
      </c>
      <c r="Q33" s="54" t="str">
        <f>'P8'!T8</f>
        <v>Por definir</v>
      </c>
      <c r="R33" s="54" t="str">
        <f>'P8'!U8</f>
        <v>Por definir</v>
      </c>
      <c r="S33" s="54" t="str">
        <f>'P8'!V8</f>
        <v>Por definir</v>
      </c>
      <c r="T33" s="54" t="str">
        <f>'P8'!W8</f>
        <v>Por definir</v>
      </c>
      <c r="U33" s="54" t="str">
        <f>'P8'!X8</f>
        <v>Por definir</v>
      </c>
      <c r="V33" s="54">
        <f>'P8'!Y8</f>
        <v>7040381400.5094995</v>
      </c>
      <c r="W33" s="217">
        <f t="shared" si="3"/>
        <v>2.3596952670994174E-3</v>
      </c>
    </row>
    <row r="34" spans="1:23" s="203" customFormat="1" x14ac:dyDescent="0.2">
      <c r="A34" s="204" t="str">
        <f>'PPP_V3_y Costos'!D22</f>
        <v>8.2. Fortalecimiento del talento humano en I+D+i, y en extensionismo agrícola e industrial.</v>
      </c>
      <c r="B34" s="54">
        <f>'P8'!E9</f>
        <v>631058574.5</v>
      </c>
      <c r="C34" s="54">
        <f>'P8'!F9</f>
        <v>2524234298</v>
      </c>
      <c r="D34" s="54">
        <f>'P8'!G9</f>
        <v>2524234298</v>
      </c>
      <c r="E34" s="54">
        <f>'P8'!H9</f>
        <v>1893175723.5</v>
      </c>
      <c r="F34" s="54" t="str">
        <f>'P8'!I9</f>
        <v>Por definir</v>
      </c>
      <c r="G34" s="54" t="str">
        <f>'P8'!J9</f>
        <v>Por definir</v>
      </c>
      <c r="H34" s="54">
        <f>'P8'!K9</f>
        <v>2524234298</v>
      </c>
      <c r="I34" s="54" t="str">
        <f>'P8'!L9</f>
        <v>Por definir</v>
      </c>
      <c r="J34" s="54" t="str">
        <f>'P8'!M9</f>
        <v>Por definir</v>
      </c>
      <c r="K34" s="54">
        <f>'P8'!N9</f>
        <v>2524234298</v>
      </c>
      <c r="L34" s="54" t="str">
        <f>'P8'!O9</f>
        <v>Por definir</v>
      </c>
      <c r="M34" s="54" t="str">
        <f>'P8'!P9</f>
        <v>Por definir</v>
      </c>
      <c r="N34" s="54">
        <f>'P8'!Q9</f>
        <v>2524234298</v>
      </c>
      <c r="O34" s="54" t="str">
        <f>'P8'!R9</f>
        <v>Por definir</v>
      </c>
      <c r="P34" s="54" t="str">
        <f>'P8'!S9</f>
        <v>Por definir</v>
      </c>
      <c r="Q34" s="54">
        <f>'P8'!T9</f>
        <v>2524234298</v>
      </c>
      <c r="R34" s="54" t="str">
        <f>'P8'!U9</f>
        <v>Por definir</v>
      </c>
      <c r="S34" s="54" t="str">
        <f>'P8'!V9</f>
        <v>Por definir</v>
      </c>
      <c r="T34" s="54">
        <f>'P8'!W9</f>
        <v>2524234298</v>
      </c>
      <c r="U34" s="54" t="str">
        <f>'P8'!X9</f>
        <v>Por definir</v>
      </c>
      <c r="V34" s="54">
        <f>'P8'!Y9</f>
        <v>20193874384</v>
      </c>
      <c r="W34" s="217">
        <f t="shared" si="3"/>
        <v>6.7682966443943678E-3</v>
      </c>
    </row>
    <row r="35" spans="1:23" s="203" customFormat="1" ht="15" x14ac:dyDescent="0.2">
      <c r="A35" s="202" t="str">
        <f>'PPP_V3_y Costos'!C23</f>
        <v>9. Fortalecimiento de la gestión institucional de la cadena de maíz</v>
      </c>
      <c r="B35" s="166">
        <f>'P9'!E7</f>
        <v>2881306180</v>
      </c>
      <c r="C35" s="166">
        <f>'P9'!F7</f>
        <v>2504495959.75</v>
      </c>
      <c r="D35" s="166">
        <f>'P9'!G7</f>
        <v>675685534</v>
      </c>
      <c r="E35" s="166">
        <f>'P9'!H7</f>
        <v>0</v>
      </c>
      <c r="F35" s="166">
        <f>'P9'!I7</f>
        <v>0</v>
      </c>
      <c r="G35" s="166">
        <f>'P9'!J7</f>
        <v>1547336232.75</v>
      </c>
      <c r="H35" s="166">
        <f>'P9'!K7</f>
        <v>0</v>
      </c>
      <c r="I35" s="166">
        <f>'P9'!L7</f>
        <v>0</v>
      </c>
      <c r="J35" s="166">
        <f>'P9'!M7</f>
        <v>0</v>
      </c>
      <c r="K35" s="166">
        <f>'P9'!N7</f>
        <v>652978695.75</v>
      </c>
      <c r="L35" s="166">
        <f>'P9'!O7</f>
        <v>894357537</v>
      </c>
      <c r="M35" s="166">
        <f>'P9'!P7</f>
        <v>0</v>
      </c>
      <c r="N35" s="166">
        <f>'P9'!Q7</f>
        <v>0</v>
      </c>
      <c r="O35" s="166">
        <f>'P9'!R7</f>
        <v>0</v>
      </c>
      <c r="P35" s="166">
        <f>'P9'!S7</f>
        <v>652978695.75</v>
      </c>
      <c r="Q35" s="166">
        <f>'P9'!T7</f>
        <v>894357537</v>
      </c>
      <c r="R35" s="166">
        <f>'P9'!U7</f>
        <v>0</v>
      </c>
      <c r="S35" s="166">
        <f>'P9'!V7</f>
        <v>0</v>
      </c>
      <c r="T35" s="166">
        <f>'P9'!W7</f>
        <v>0</v>
      </c>
      <c r="U35" s="166">
        <f>'P9'!X7</f>
        <v>982697615.75</v>
      </c>
      <c r="V35" s="166">
        <f>'P9'!Y7</f>
        <v>11686193987.75</v>
      </c>
      <c r="W35" s="310">
        <f t="shared" si="3"/>
        <v>3.9168128933048611E-3</v>
      </c>
    </row>
    <row r="36" spans="1:23" s="203" customFormat="1" x14ac:dyDescent="0.2">
      <c r="A36" s="204" t="str">
        <f>'PPP_V3_y Costos'!D23</f>
        <v>9.1. Fortalecimiento del Sistema de Inspección, Vigilancia y Control para la cadena de maíz.</v>
      </c>
      <c r="B36" s="54">
        <f>'P9'!E8</f>
        <v>881873797.5</v>
      </c>
      <c r="C36" s="54">
        <f>'P9'!F8</f>
        <v>1175831730</v>
      </c>
      <c r="D36" s="54" t="str">
        <f>'P9'!G8</f>
        <v xml:space="preserve">Por definir </v>
      </c>
      <c r="E36" s="54" t="str">
        <f>'P9'!H8</f>
        <v xml:space="preserve">Por definir </v>
      </c>
      <c r="F36" s="54" t="str">
        <f>'P9'!I8</f>
        <v xml:space="preserve">Por definir </v>
      </c>
      <c r="G36" s="54" t="str">
        <f>'P9'!J8</f>
        <v xml:space="preserve">Por definir </v>
      </c>
      <c r="H36" s="54" t="str">
        <f>'P9'!K8</f>
        <v xml:space="preserve">Por definir </v>
      </c>
      <c r="I36" s="54" t="str">
        <f>'P9'!L8</f>
        <v xml:space="preserve">Por definir </v>
      </c>
      <c r="J36" s="54" t="str">
        <f>'P9'!M8</f>
        <v xml:space="preserve">Por definir </v>
      </c>
      <c r="K36" s="54" t="str">
        <f>'P9'!N8</f>
        <v xml:space="preserve">Por definir </v>
      </c>
      <c r="L36" s="54" t="str">
        <f>'P9'!O8</f>
        <v xml:space="preserve">Por definir </v>
      </c>
      <c r="M36" s="54" t="str">
        <f>'P9'!P8</f>
        <v xml:space="preserve">Por definir </v>
      </c>
      <c r="N36" s="54" t="str">
        <f>'P9'!Q8</f>
        <v xml:space="preserve">Por definir </v>
      </c>
      <c r="O36" s="54" t="str">
        <f>'P9'!R8</f>
        <v xml:space="preserve">Por definir </v>
      </c>
      <c r="P36" s="54" t="str">
        <f>'P9'!S8</f>
        <v xml:space="preserve">Por definir </v>
      </c>
      <c r="Q36" s="54" t="str">
        <f>'P9'!T8</f>
        <v xml:space="preserve">Por definir </v>
      </c>
      <c r="R36" s="54" t="str">
        <f>'P9'!U8</f>
        <v xml:space="preserve">Por definir </v>
      </c>
      <c r="S36" s="54" t="str">
        <f>'P9'!V8</f>
        <v xml:space="preserve">Por definir </v>
      </c>
      <c r="T36" s="54" t="str">
        <f>'P9'!W8</f>
        <v xml:space="preserve">Por definir </v>
      </c>
      <c r="U36" s="54" t="str">
        <f>'P9'!X8</f>
        <v xml:space="preserve">Por definir </v>
      </c>
      <c r="V36" s="54">
        <f>'P9'!Y8</f>
        <v>2057705527.5</v>
      </c>
      <c r="W36" s="217">
        <f>V36/V42</f>
        <v>6.8967257853028705E-4</v>
      </c>
    </row>
    <row r="37" spans="1:23" s="203" customFormat="1" ht="28.5" x14ac:dyDescent="0.2">
      <c r="A37" s="204" t="str">
        <f>'PPP_V3_y Costos'!D24</f>
        <v>9.2. Diseño y mejora de los instrumentos de financiamiento, comercialización, gestión de riesgos y empresarización para la cadena de maíz.</v>
      </c>
      <c r="B37" s="54">
        <f>'P9'!E9</f>
        <v>247289190</v>
      </c>
      <c r="C37" s="54" t="str">
        <f>'P9'!F9</f>
        <v>Por definir</v>
      </c>
      <c r="D37" s="54" t="str">
        <f>'P9'!G9</f>
        <v xml:space="preserve">Por definir </v>
      </c>
      <c r="E37" s="54" t="str">
        <f>'P9'!H9</f>
        <v xml:space="preserve">Por definir </v>
      </c>
      <c r="F37" s="54" t="str">
        <f>'P9'!I9</f>
        <v xml:space="preserve">Por definir </v>
      </c>
      <c r="G37" s="54">
        <f>'P9'!J9</f>
        <v>329718920</v>
      </c>
      <c r="H37" s="54">
        <f>'P9'!K9</f>
        <v>0</v>
      </c>
      <c r="I37" s="54">
        <f>'P9'!L9</f>
        <v>0</v>
      </c>
      <c r="J37" s="54">
        <f>'P9'!M9</f>
        <v>0</v>
      </c>
      <c r="K37" s="54">
        <f>'P9'!N9</f>
        <v>0</v>
      </c>
      <c r="L37" s="54">
        <f>'P9'!O9</f>
        <v>329718920</v>
      </c>
      <c r="M37" s="54">
        <f>'P9'!P9</f>
        <v>0</v>
      </c>
      <c r="N37" s="54">
        <f>'P9'!Q9</f>
        <v>0</v>
      </c>
      <c r="O37" s="54">
        <f>'P9'!R9</f>
        <v>0</v>
      </c>
      <c r="P37" s="54">
        <f>'P9'!S9</f>
        <v>0</v>
      </c>
      <c r="Q37" s="54">
        <f>'P9'!T9</f>
        <v>329718920</v>
      </c>
      <c r="R37" s="54">
        <f>'P9'!U9</f>
        <v>0</v>
      </c>
      <c r="S37" s="54">
        <f>'P9'!V9</f>
        <v>0</v>
      </c>
      <c r="T37" s="54">
        <f>'P9'!W9</f>
        <v>0</v>
      </c>
      <c r="U37" s="54">
        <f>'P9'!X9</f>
        <v>329718920</v>
      </c>
      <c r="V37" s="54">
        <f>'P9'!Y9</f>
        <v>1566164870</v>
      </c>
      <c r="W37" s="217">
        <f>V37/V42</f>
        <v>5.2492494667532154E-4</v>
      </c>
    </row>
    <row r="38" spans="1:23" s="203" customFormat="1" ht="28.5" x14ac:dyDescent="0.2">
      <c r="A38" s="204" t="str">
        <f>'PPP_V3_y Costos'!D25</f>
        <v>9.3. Fortalecimiento de mecanismos institucionales para el impulso a las inversiones en producción de maíz a mediana y gran escala.</v>
      </c>
      <c r="B38" s="54">
        <f>'P9'!E10</f>
        <v>652978695.75</v>
      </c>
      <c r="C38" s="54">
        <f>'P9'!F10</f>
        <v>652978695.75</v>
      </c>
      <c r="D38" s="54" t="str">
        <f>'P9'!G10</f>
        <v xml:space="preserve">Por definir </v>
      </c>
      <c r="E38" s="54" t="str">
        <f>'P9'!H10</f>
        <v xml:space="preserve">Por definir </v>
      </c>
      <c r="F38" s="54" t="str">
        <f>'P9'!I10</f>
        <v>Por definir</v>
      </c>
      <c r="G38" s="54">
        <f>'P9'!J10</f>
        <v>652978695.75</v>
      </c>
      <c r="H38" s="54" t="str">
        <f>'P9'!K10</f>
        <v xml:space="preserve">Por definir </v>
      </c>
      <c r="I38" s="54" t="str">
        <f>'P9'!L10</f>
        <v>Por definir</v>
      </c>
      <c r="J38" s="54" t="str">
        <f>'P9'!M10</f>
        <v xml:space="preserve">Por definir </v>
      </c>
      <c r="K38" s="54">
        <f>'P9'!N10</f>
        <v>652978695.75</v>
      </c>
      <c r="L38" s="54" t="str">
        <f>'P9'!O10</f>
        <v xml:space="preserve">Por definir </v>
      </c>
      <c r="M38" s="54" t="str">
        <f>'P9'!P10</f>
        <v xml:space="preserve">Por definir </v>
      </c>
      <c r="N38" s="54" t="str">
        <f>'P9'!Q10</f>
        <v xml:space="preserve">Por definir </v>
      </c>
      <c r="O38" s="54" t="str">
        <f>'P9'!R10</f>
        <v>Por definir</v>
      </c>
      <c r="P38" s="54">
        <f>'P9'!S10</f>
        <v>652978695.75</v>
      </c>
      <c r="Q38" s="54" t="str">
        <f>'P9'!T10</f>
        <v xml:space="preserve">Por definir </v>
      </c>
      <c r="R38" s="54" t="str">
        <f>'P9'!U10</f>
        <v>Por definir</v>
      </c>
      <c r="S38" s="54" t="str">
        <f>'P9'!V10</f>
        <v xml:space="preserve">Por definir </v>
      </c>
      <c r="T38" s="54" t="str">
        <f>'P9'!W10</f>
        <v xml:space="preserve">Por definir </v>
      </c>
      <c r="U38" s="54">
        <f>'P9'!X10</f>
        <v>652978695.75</v>
      </c>
      <c r="V38" s="54">
        <f>'P9'!Y10</f>
        <v>3917872174.5</v>
      </c>
      <c r="W38" s="217"/>
    </row>
    <row r="39" spans="1:23" s="203" customFormat="1" x14ac:dyDescent="0.2">
      <c r="A39" s="204" t="str">
        <f>'PPP_V3_y Costos'!D26</f>
        <v>9.4. Diseño y operación del Sistema nacional de Información para la cadena de maíz.</v>
      </c>
      <c r="B39" s="54">
        <f>'P9'!E11</f>
        <v>423478962.75</v>
      </c>
      <c r="C39" s="54" t="str">
        <f>'P9'!F11</f>
        <v>Por definir</v>
      </c>
      <c r="D39" s="54" t="str">
        <f>'P9'!G11</f>
        <v xml:space="preserve">Por definir </v>
      </c>
      <c r="E39" s="54" t="str">
        <f>'P9'!H11</f>
        <v xml:space="preserve">Por definir </v>
      </c>
      <c r="F39" s="54" t="str">
        <f>'P9'!I11</f>
        <v>Por definir</v>
      </c>
      <c r="G39" s="54">
        <f>'P9'!J11</f>
        <v>564638617</v>
      </c>
      <c r="H39" s="54" t="str">
        <f>'P9'!K11</f>
        <v xml:space="preserve">Por definir </v>
      </c>
      <c r="I39" s="54" t="str">
        <f>'P9'!L11</f>
        <v>Por definir</v>
      </c>
      <c r="J39" s="54" t="str">
        <f>'P9'!M11</f>
        <v xml:space="preserve">Por definir </v>
      </c>
      <c r="K39" s="54" t="str">
        <f>'P9'!N11</f>
        <v xml:space="preserve">Por definir </v>
      </c>
      <c r="L39" s="54">
        <f>'P9'!O11</f>
        <v>564638617</v>
      </c>
      <c r="M39" s="54" t="str">
        <f>'P9'!P11</f>
        <v xml:space="preserve">Por definir </v>
      </c>
      <c r="N39" s="54" t="str">
        <f>'P9'!Q11</f>
        <v xml:space="preserve">Por definir </v>
      </c>
      <c r="O39" s="54" t="str">
        <f>'P9'!R11</f>
        <v>Por definir</v>
      </c>
      <c r="P39" s="54" t="str">
        <f>'P9'!S11</f>
        <v xml:space="preserve">Por definir </v>
      </c>
      <c r="Q39" s="54">
        <f>'P9'!T11</f>
        <v>564638617</v>
      </c>
      <c r="R39" s="54" t="str">
        <f>'P9'!U11</f>
        <v>Por definir</v>
      </c>
      <c r="S39" s="54" t="str">
        <f>'P9'!V11</f>
        <v xml:space="preserve">Por definir </v>
      </c>
      <c r="T39" s="54" t="str">
        <f>'P9'!W11</f>
        <v xml:space="preserve">Por definir </v>
      </c>
      <c r="U39" s="54" t="str">
        <f>'P9'!X11</f>
        <v xml:space="preserve">Por definir </v>
      </c>
      <c r="V39" s="54">
        <f>'P9'!Y11</f>
        <v>2117394813.75</v>
      </c>
      <c r="W39" s="217">
        <f>V39/V42</f>
        <v>7.0967838762615149E-4</v>
      </c>
    </row>
    <row r="40" spans="1:23" s="203" customFormat="1" x14ac:dyDescent="0.2">
      <c r="A40" s="206" t="str">
        <f>'PPP_V3_y Costos'!D27</f>
        <v>9.5. Constitución y fortalecimiento de la Organización de Cadena de maíz.</v>
      </c>
      <c r="B40" s="54">
        <f>'P9'!E12</f>
        <v>320314491</v>
      </c>
      <c r="C40" s="54">
        <f>'P9'!F12</f>
        <v>320314491</v>
      </c>
      <c r="D40" s="54">
        <f>'P9'!G12</f>
        <v>320314491</v>
      </c>
      <c r="E40" s="54" t="str">
        <f>'P9'!H12</f>
        <v xml:space="preserve">Por definir </v>
      </c>
      <c r="F40" s="54" t="str">
        <f>'P9'!I12</f>
        <v xml:space="preserve">Por definir </v>
      </c>
      <c r="G40" s="54" t="str">
        <f>'P9'!J12</f>
        <v xml:space="preserve">Por definir </v>
      </c>
      <c r="H40" s="54" t="str">
        <f>'P9'!K12</f>
        <v xml:space="preserve">Por definir </v>
      </c>
      <c r="I40" s="54" t="str">
        <f>'P9'!L12</f>
        <v xml:space="preserve">Por definir </v>
      </c>
      <c r="J40" s="54" t="str">
        <f>'P9'!M12</f>
        <v xml:space="preserve">Por definir </v>
      </c>
      <c r="K40" s="54" t="str">
        <f>'P9'!N12</f>
        <v xml:space="preserve">Por definir </v>
      </c>
      <c r="L40" s="54" t="str">
        <f>'P9'!O12</f>
        <v xml:space="preserve">Por definir </v>
      </c>
      <c r="M40" s="54" t="str">
        <f>'P9'!P12</f>
        <v xml:space="preserve">Por definir </v>
      </c>
      <c r="N40" s="54" t="str">
        <f>'P9'!Q12</f>
        <v xml:space="preserve">Por definir </v>
      </c>
      <c r="O40" s="54" t="str">
        <f>'P9'!R12</f>
        <v xml:space="preserve">Por definir </v>
      </c>
      <c r="P40" s="54" t="str">
        <f>'P9'!S12</f>
        <v xml:space="preserve">Por definir </v>
      </c>
      <c r="Q40" s="54" t="str">
        <f>'P9'!T12</f>
        <v xml:space="preserve">Por definir </v>
      </c>
      <c r="R40" s="54" t="str">
        <f>'P9'!U12</f>
        <v xml:space="preserve">Por definir </v>
      </c>
      <c r="S40" s="54" t="str">
        <f>'P9'!V12</f>
        <v xml:space="preserve">Por definir </v>
      </c>
      <c r="T40" s="54" t="str">
        <f>'P9'!W12</f>
        <v xml:space="preserve">Por definir </v>
      </c>
      <c r="U40" s="54" t="str">
        <f>'P9'!X12</f>
        <v xml:space="preserve">Por definir </v>
      </c>
      <c r="V40" s="54">
        <f>'P9'!Y12</f>
        <v>960943473</v>
      </c>
      <c r="W40" s="217">
        <f>V40/V42</f>
        <v>3.2207541554837919E-4</v>
      </c>
    </row>
    <row r="41" spans="1:23" s="203" customFormat="1" x14ac:dyDescent="0.2">
      <c r="A41" s="206" t="str">
        <f>'PPP_V3_y Costos'!D28</f>
        <v>9.6. Adopción, promoción y monitoreo de la política pública para la cadena de maíz.</v>
      </c>
      <c r="B41" s="54">
        <f>'P9'!E13</f>
        <v>355371043</v>
      </c>
      <c r="C41" s="54">
        <f>'P9'!F13</f>
        <v>355371043</v>
      </c>
      <c r="D41" s="54">
        <f>'P9'!G13</f>
        <v>355371043</v>
      </c>
      <c r="E41" s="54" t="str">
        <f>'P9'!H13</f>
        <v xml:space="preserve">Por definir </v>
      </c>
      <c r="F41" s="54" t="str">
        <f>'P9'!I13</f>
        <v xml:space="preserve">Por definir </v>
      </c>
      <c r="G41" s="54" t="str">
        <f>'P9'!J13</f>
        <v xml:space="preserve">Por definir </v>
      </c>
      <c r="H41" s="54" t="str">
        <f>'P9'!K13</f>
        <v xml:space="preserve">Por definir </v>
      </c>
      <c r="I41" s="54" t="str">
        <f>'P9'!L13</f>
        <v xml:space="preserve">Por definir </v>
      </c>
      <c r="J41" s="54" t="str">
        <f>'P9'!M13</f>
        <v xml:space="preserve">Por definir </v>
      </c>
      <c r="K41" s="54" t="str">
        <f>'P9'!N13</f>
        <v xml:space="preserve">Por definir </v>
      </c>
      <c r="L41" s="54" t="str">
        <f>'P9'!O13</f>
        <v xml:space="preserve">Por definir </v>
      </c>
      <c r="M41" s="54" t="str">
        <f>'P9'!P13</f>
        <v xml:space="preserve">Por definir </v>
      </c>
      <c r="N41" s="54" t="str">
        <f>'P9'!Q13</f>
        <v xml:space="preserve">Por definir </v>
      </c>
      <c r="O41" s="54" t="str">
        <f>'P9'!R13</f>
        <v xml:space="preserve">Por definir </v>
      </c>
      <c r="P41" s="54" t="str">
        <f>'P9'!S13</f>
        <v xml:space="preserve">Por definir </v>
      </c>
      <c r="Q41" s="54" t="str">
        <f>'P9'!T13</f>
        <v xml:space="preserve">Por definir </v>
      </c>
      <c r="R41" s="54" t="str">
        <f>'P9'!U13</f>
        <v xml:space="preserve">Por definir </v>
      </c>
      <c r="S41" s="54" t="str">
        <f>'P9'!V13</f>
        <v xml:space="preserve">Por definir </v>
      </c>
      <c r="T41" s="54" t="str">
        <f>'P9'!W13</f>
        <v xml:space="preserve">Por definir </v>
      </c>
      <c r="U41" s="54" t="str">
        <f>'P9'!X13</f>
        <v xml:space="preserve">Por definir </v>
      </c>
      <c r="V41" s="54">
        <f>'P9'!Y13</f>
        <v>1066113129</v>
      </c>
      <c r="W41" s="217">
        <f>V41/V42</f>
        <v>3.5732469046517761E-4</v>
      </c>
    </row>
    <row r="42" spans="1:23" s="208" customFormat="1" ht="15.75" x14ac:dyDescent="0.2">
      <c r="A42" s="207" t="s">
        <v>286</v>
      </c>
      <c r="B42" s="170">
        <f>B6+B9+B12+B18+B21+B23+B29+B32+B35</f>
        <v>12904997111.008997</v>
      </c>
      <c r="C42" s="170">
        <f t="shared" ref="C42:W42" si="4">C6+C9+C12+C18+C21+C23+C29+C32+C35</f>
        <v>199913015238.65717</v>
      </c>
      <c r="D42" s="170">
        <f t="shared" si="4"/>
        <v>197888528738.24051</v>
      </c>
      <c r="E42" s="170">
        <f t="shared" si="4"/>
        <v>194712347367.17685</v>
      </c>
      <c r="F42" s="170">
        <f t="shared" si="4"/>
        <v>190209968300.97037</v>
      </c>
      <c r="G42" s="170">
        <f t="shared" si="4"/>
        <v>186267614903.41791</v>
      </c>
      <c r="H42" s="170">
        <f t="shared" si="4"/>
        <v>181248904158.37051</v>
      </c>
      <c r="I42" s="170">
        <f t="shared" si="4"/>
        <v>175489103231.57721</v>
      </c>
      <c r="J42" s="170">
        <f t="shared" si="4"/>
        <v>175148142911.789</v>
      </c>
      <c r="K42" s="170">
        <f t="shared" si="4"/>
        <v>181103587457.9061</v>
      </c>
      <c r="L42" s="170">
        <f t="shared" si="4"/>
        <v>175145840842.20364</v>
      </c>
      <c r="M42" s="170">
        <f t="shared" si="4"/>
        <v>122398941657.29318</v>
      </c>
      <c r="N42" s="170">
        <f t="shared" si="4"/>
        <v>127310966348.51895</v>
      </c>
      <c r="O42" s="170">
        <f t="shared" si="4"/>
        <v>121988507811.20566</v>
      </c>
      <c r="P42" s="170">
        <f t="shared" si="4"/>
        <v>123147134973.89868</v>
      </c>
      <c r="Q42" s="170">
        <f t="shared" si="4"/>
        <v>127925588574.74312</v>
      </c>
      <c r="R42" s="170">
        <f t="shared" si="4"/>
        <v>121725556619.07637</v>
      </c>
      <c r="S42" s="170">
        <f t="shared" si="4"/>
        <v>121648207471.54715</v>
      </c>
      <c r="T42" s="170">
        <f t="shared" si="4"/>
        <v>127397662050.37769</v>
      </c>
      <c r="U42" s="170">
        <f t="shared" si="4"/>
        <v>120023096475.46286</v>
      </c>
      <c r="V42" s="170">
        <f t="shared" si="4"/>
        <v>2983597712243.4419</v>
      </c>
      <c r="W42" s="311">
        <f t="shared" si="4"/>
        <v>0.99999999999999989</v>
      </c>
    </row>
    <row r="43" spans="1:23" s="167" customFormat="1" x14ac:dyDescent="0.2">
      <c r="W43" s="312"/>
    </row>
  </sheetData>
  <sheetProtection algorithmName="SHA-512" hashValue="0l1SOqMLvBiH39uzPaK0CmsWb/Sdp4Xm5tuixvh089UPc0O4zkunW0ZBRipVC7/LUW13pYk8ft2SpSRnWqdoJg==" saltValue="4ao/h9Y54Co6Up8E/hgHrQ==" spinCount="100000" sheet="1" objects="1" scenarios="1"/>
  <mergeCells count="2">
    <mergeCell ref="A1:W1"/>
    <mergeCell ref="A2:W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zoomScale="70" zoomScaleNormal="70" workbookViewId="0">
      <selection activeCell="A40" sqref="A40"/>
    </sheetView>
  </sheetViews>
  <sheetFormatPr baseColWidth="10" defaultColWidth="10.85546875" defaultRowHeight="14.25" x14ac:dyDescent="0.2"/>
  <cols>
    <col min="1" max="1" width="100.42578125" style="53" customWidth="1"/>
    <col min="2" max="2" width="20.42578125" style="53" bestFit="1" customWidth="1"/>
    <col min="3" max="5" width="21.42578125" style="53" customWidth="1"/>
    <col min="6" max="6" width="11.42578125" style="53" customWidth="1"/>
    <col min="7" max="16384" width="10.85546875" style="53"/>
  </cols>
  <sheetData>
    <row r="1" spans="1:6" ht="18.75" customHeight="1" x14ac:dyDescent="0.25">
      <c r="A1" s="715" t="s">
        <v>287</v>
      </c>
      <c r="B1" s="715"/>
      <c r="C1" s="715"/>
      <c r="D1" s="715"/>
      <c r="E1" s="715"/>
    </row>
    <row r="2" spans="1:6" ht="18" x14ac:dyDescent="0.25">
      <c r="A2" s="715" t="s">
        <v>359</v>
      </c>
      <c r="B2" s="715"/>
      <c r="C2" s="715"/>
      <c r="D2" s="715"/>
      <c r="E2" s="715"/>
    </row>
    <row r="3" spans="1:6" ht="18.75" x14ac:dyDescent="0.3">
      <c r="A3" s="168"/>
      <c r="B3" s="169"/>
      <c r="C3" s="169"/>
      <c r="D3" s="169"/>
      <c r="E3" s="222"/>
    </row>
    <row r="4" spans="1:6" ht="18.75" x14ac:dyDescent="0.3">
      <c r="A4" s="343"/>
      <c r="B4" s="222"/>
      <c r="C4" s="222"/>
      <c r="D4" s="222"/>
      <c r="E4" s="222"/>
    </row>
    <row r="5" spans="1:6" hidden="1" x14ac:dyDescent="0.2">
      <c r="B5" s="53">
        <v>1000000</v>
      </c>
    </row>
    <row r="6" spans="1:6" ht="47.25" x14ac:dyDescent="0.2">
      <c r="A6" s="165" t="s">
        <v>285</v>
      </c>
      <c r="B6" s="216" t="s">
        <v>328</v>
      </c>
      <c r="C6" s="216" t="s">
        <v>330</v>
      </c>
      <c r="D6" s="216" t="s">
        <v>329</v>
      </c>
      <c r="E6" s="216" t="s">
        <v>25</v>
      </c>
      <c r="F6" s="374"/>
    </row>
    <row r="7" spans="1:6" s="203" customFormat="1" ht="15" x14ac:dyDescent="0.2">
      <c r="A7" s="166" t="str">
        <f>'Estimación anualizada '!A6</f>
        <v>1. Incremento del consumo de maíz nacional.</v>
      </c>
      <c r="B7" s="166">
        <f>'Estimación anualizada '!V6/$B$5</f>
        <v>133333.63232303745</v>
      </c>
      <c r="C7" s="166">
        <f>SUM('Estimación anualizada '!B6:E6)/$B$5</f>
        <v>40803.322755837493</v>
      </c>
      <c r="D7" s="166">
        <f>SUM('Estimación anualizada '!F6:M6)/$B$5</f>
        <v>54750.206783599984</v>
      </c>
      <c r="E7" s="166">
        <f>SUM('Estimación anualizada '!N6:U6)/$B$5</f>
        <v>37780.102783599999</v>
      </c>
      <c r="F7" s="310">
        <f>E7/$B$43</f>
        <v>1.2662599461236412E-2</v>
      </c>
    </row>
    <row r="8" spans="1:6" s="203" customFormat="1" x14ac:dyDescent="0.2">
      <c r="A8" s="54" t="str">
        <f>'Estimación anualizada '!A7</f>
        <v>1.1. Aumento de la participación del maíz nacional en el mercado de consumo animal.</v>
      </c>
      <c r="B8" s="54">
        <f>'Estimación anualizada '!V7/$B$5</f>
        <v>82195.085383750004</v>
      </c>
      <c r="C8" s="54">
        <f>SUM('Estimación anualizada '!B7:E7)/$B$5</f>
        <v>32169.542103749991</v>
      </c>
      <c r="D8" s="54">
        <f>SUM('Estimación anualizada '!F7:M7)/$B$5</f>
        <v>33497.823639999995</v>
      </c>
      <c r="E8" s="54">
        <f>SUM('Estimación anualizada '!N7:U7)/$B$5</f>
        <v>16527.719639999999</v>
      </c>
      <c r="F8" s="217">
        <f t="shared" ref="F8:F44" si="0">E8/$B$43</f>
        <v>5.5395268511492434E-3</v>
      </c>
    </row>
    <row r="9" spans="1:6" s="203" customFormat="1" x14ac:dyDescent="0.2">
      <c r="A9" s="54" t="str">
        <f>'Estimación anualizada '!A8</f>
        <v>1.2. Posicionamiento de la oferta del maíz nacional y sus derivados, para  alimentación humana y otros usos.</v>
      </c>
      <c r="B9" s="54">
        <f>'Estimación anualizada '!V8/$B$5</f>
        <v>51138.54693928748</v>
      </c>
      <c r="C9" s="54">
        <f>SUM('Estimación anualizada '!B8:E8)/$B$5</f>
        <v>8633.7806520875001</v>
      </c>
      <c r="D9" s="54">
        <f>SUM('Estimación anualizada '!F8:M8)/$B$5</f>
        <v>21252.383143600004</v>
      </c>
      <c r="E9" s="54">
        <f>SUM('Estimación anualizada '!N8:U8)/$B$5</f>
        <v>21252.383143600004</v>
      </c>
      <c r="F9" s="217">
        <f t="shared" si="0"/>
        <v>7.1230726100871703E-3</v>
      </c>
    </row>
    <row r="10" spans="1:6" s="203" customFormat="1" ht="15" x14ac:dyDescent="0.2">
      <c r="A10" s="166" t="str">
        <f>'Estimación anualizada '!A9</f>
        <v>2. Mejoramiento productivo del cultivo de maíz.</v>
      </c>
      <c r="B10" s="166">
        <f>'Estimación anualizada '!V9/$B$5</f>
        <v>1023770.878824</v>
      </c>
      <c r="C10" s="166">
        <f>SUM('Estimación anualizada '!B9:E9)/$B$5</f>
        <v>236422.08981400001</v>
      </c>
      <c r="D10" s="166">
        <f>SUM('Estimación anualizada '!F9:M9)/$B$5</f>
        <v>563780.10502599995</v>
      </c>
      <c r="E10" s="166">
        <f>SUM('Estimación anualizada '!N9:U9)/$B$5</f>
        <v>223568.683984</v>
      </c>
      <c r="F10" s="310">
        <f t="shared" si="0"/>
        <v>7.4932583258985372E-2</v>
      </c>
    </row>
    <row r="11" spans="1:6" s="203" customFormat="1" x14ac:dyDescent="0.2">
      <c r="A11" s="54" t="str">
        <f>'Estimación anualizada '!A10</f>
        <v>2.1. Implementación efectiva de la asistencia técnica en sistemas tecnificados de maíz.</v>
      </c>
      <c r="B11" s="54">
        <f>'Estimación anualizada '!V10/$B$5</f>
        <v>1016255.147306</v>
      </c>
      <c r="C11" s="54">
        <f>SUM('Estimación anualizada '!B10:E10)/$B$5</f>
        <v>234995.052184</v>
      </c>
      <c r="D11" s="54">
        <f>SUM('Estimación anualizada '!F10:M10)/$B$5</f>
        <v>560735.75808199996</v>
      </c>
      <c r="E11" s="54">
        <f>SUM('Estimación anualizada '!N10:U10)/$B$5</f>
        <v>220524.33704000001</v>
      </c>
      <c r="F11" s="217">
        <f t="shared" si="0"/>
        <v>7.3912222192375338E-2</v>
      </c>
    </row>
    <row r="12" spans="1:6" s="203" customFormat="1" x14ac:dyDescent="0.2">
      <c r="A12" s="54" t="str">
        <f>'Estimación anualizada '!A11</f>
        <v xml:space="preserve">2.2. Impulso a la producción de maíz a mediana y gran escala.  </v>
      </c>
      <c r="B12" s="54">
        <f>'Estimación anualizada '!V11/$B$5</f>
        <v>7515.7315179999996</v>
      </c>
      <c r="C12" s="54">
        <f>SUM('Estimación anualizada '!B11:E11)/$B$5</f>
        <v>1427.03763</v>
      </c>
      <c r="D12" s="54">
        <f>SUM('Estimación anualizada '!F11:M11)/$B$5</f>
        <v>3044.3469439999999</v>
      </c>
      <c r="E12" s="54">
        <f>SUM('Estimación anualizada '!N11:U11)/$B$5</f>
        <v>3044.3469439999999</v>
      </c>
      <c r="F12" s="217">
        <f t="shared" si="0"/>
        <v>1.0203610666100421E-3</v>
      </c>
    </row>
    <row r="13" spans="1:6" s="203" customFormat="1" ht="15" x14ac:dyDescent="0.2">
      <c r="A13" s="166" t="str">
        <f>'Estimación anualizada '!A12</f>
        <v xml:space="preserve">3. Generación y consolidación de encadenamientos regionales para la cadena de maíz. </v>
      </c>
      <c r="B13" s="166">
        <f>'Estimación anualizada '!V12/$B$5</f>
        <v>1400500.821164686</v>
      </c>
      <c r="C13" s="166">
        <f>SUM('Estimación anualizada '!B12:E12)/$B$5</f>
        <v>227246.02528485161</v>
      </c>
      <c r="D13" s="166">
        <f>SUM('Estimación anualizada '!F12:M12)/$B$5</f>
        <v>595276.82732858625</v>
      </c>
      <c r="E13" s="166">
        <f>SUM('Estimación anualizada '!N12:U12)/$B$5</f>
        <v>577977.9685512482</v>
      </c>
      <c r="F13" s="310">
        <f t="shared" si="0"/>
        <v>0.19371846485183555</v>
      </c>
    </row>
    <row r="14" spans="1:6" s="203" customFormat="1" x14ac:dyDescent="0.2">
      <c r="A14" s="54" t="str">
        <f>'Estimación anualizada '!A13</f>
        <v>3.1. Promoción y fortalecimiento de organizaciones de economía solidaria en la cadena de maíz.</v>
      </c>
      <c r="B14" s="54">
        <f>'Estimación anualizada '!V13/$B$5</f>
        <v>25936.173910000001</v>
      </c>
      <c r="C14" s="54">
        <f>SUM('Estimación anualizada '!B13:E13)/$B$5</f>
        <v>3112.60079</v>
      </c>
      <c r="D14" s="54">
        <f>SUM('Estimación anualizada '!F13:M13)/$B$5</f>
        <v>11161.78656</v>
      </c>
      <c r="E14" s="54">
        <f>SUM('Estimación anualizada '!N13:U13)/$B$5</f>
        <v>11661.78656</v>
      </c>
      <c r="F14" s="217">
        <f t="shared" si="0"/>
        <v>3.9086323575544006E-3</v>
      </c>
    </row>
    <row r="15" spans="1:6" s="203" customFormat="1" x14ac:dyDescent="0.2">
      <c r="A15" s="54" t="str">
        <f>'Estimación anualizada '!A14</f>
        <v>3.2. Promoción de la integración y las alianzas estratégicas regionales en la cadena de maíz.</v>
      </c>
      <c r="B15" s="54">
        <f>'Estimación anualizada '!V14/$B$5</f>
        <v>37997.628165499998</v>
      </c>
      <c r="C15" s="54">
        <f>SUM('Estimación anualizada '!B14:E14)/$B$5</f>
        <v>7870.9887294999999</v>
      </c>
      <c r="D15" s="54">
        <f>SUM('Estimación anualizada '!F14:M14)/$B$5</f>
        <v>15350.747836</v>
      </c>
      <c r="E15" s="54">
        <f>SUM('Estimación anualizada '!N14:U14)/$B$5</f>
        <v>14775.891600000001</v>
      </c>
      <c r="F15" s="217">
        <f t="shared" si="0"/>
        <v>4.9523739542250943E-3</v>
      </c>
    </row>
    <row r="16" spans="1:6" s="203" customFormat="1" x14ac:dyDescent="0.2">
      <c r="A16" s="54" t="str">
        <f>'Estimación anualizada '!A15</f>
        <v>3.3. Aumento de la capacidad instalada regional para el secamiento, almacenamiento, y  procesamiento agroindustrial de maíz.</v>
      </c>
      <c r="B16" s="54">
        <f>'Estimación anualizada '!V15/$B$5</f>
        <v>1295488.0026087963</v>
      </c>
      <c r="C16" s="54">
        <f>SUM('Estimación anualizada '!B15:E15)/$B$5</f>
        <v>206781.34412577763</v>
      </c>
      <c r="D16" s="54">
        <f>SUM('Estimación anualizada '!F15:M15)/$B$5</f>
        <v>549138.34075673029</v>
      </c>
      <c r="E16" s="54">
        <f>SUM('Estimación anualizada '!N15:U15)/$B$5</f>
        <v>539568.31772628822</v>
      </c>
      <c r="F16" s="217">
        <f t="shared" si="0"/>
        <v>0.18084486239955361</v>
      </c>
    </row>
    <row r="17" spans="1:6" s="203" customFormat="1" x14ac:dyDescent="0.2">
      <c r="A17" s="54" t="str">
        <f>'Estimación anualizada '!A16</f>
        <v xml:space="preserve">3.4. Fortalecimiento de la oferta de insumos y servicios asociados a la cadena. </v>
      </c>
      <c r="B17" s="54">
        <f>'Estimación anualizada '!V16/$B$5</f>
        <v>30338.487270195987</v>
      </c>
      <c r="C17" s="54">
        <f>SUM('Estimación anualizada '!B16:E16)/$B$5</f>
        <v>7231.2304364040001</v>
      </c>
      <c r="D17" s="54">
        <f>SUM('Estimación anualizada '!F16:M16)/$B$5</f>
        <v>15301.422472832</v>
      </c>
      <c r="E17" s="54">
        <f>SUM('Estimación anualizada '!N16:U16)/$B$5</f>
        <v>7805.8343609599997</v>
      </c>
      <c r="F17" s="217">
        <f t="shared" si="0"/>
        <v>2.6162489429885629E-3</v>
      </c>
    </row>
    <row r="18" spans="1:6" s="203" customFormat="1" x14ac:dyDescent="0.2">
      <c r="A18" s="54" t="str">
        <f>'Estimación anualizada '!A17</f>
        <v>3.5. Mejora del entorno productivo para las grandes inversiones en las regiones maiceras.</v>
      </c>
      <c r="B18" s="54">
        <f>'Estimación anualizada '!V17/$B$5</f>
        <v>10740.529210193999</v>
      </c>
      <c r="C18" s="54">
        <f>SUM('Estimación anualizada '!B17:E17)/$B$5</f>
        <v>2249.86120317</v>
      </c>
      <c r="D18" s="54">
        <f>SUM('Estimación anualizada '!F17:M17)/$B$5</f>
        <v>4324.5297030239999</v>
      </c>
      <c r="E18" s="54">
        <f>SUM('Estimación anualizada '!N17:U17)/$B$5</f>
        <v>4166.1383040000001</v>
      </c>
      <c r="F18" s="217">
        <f t="shared" si="0"/>
        <v>1.3963471975138955E-3</v>
      </c>
    </row>
    <row r="19" spans="1:6" s="203" customFormat="1" ht="15" x14ac:dyDescent="0.2">
      <c r="A19" s="166" t="str">
        <f>'Estimación anualizada '!A18</f>
        <v xml:space="preserve">4. Mejora de la gestión del agua y del suelo en el cultivo de maíz. </v>
      </c>
      <c r="B19" s="166">
        <f>'Estimación anualizada '!V18/$B$5</f>
        <v>104419.1618095</v>
      </c>
      <c r="C19" s="166">
        <f>SUM('Estimación anualizada '!B18:E18)/$B$5</f>
        <v>25826.990679499999</v>
      </c>
      <c r="D19" s="166">
        <f>SUM('Estimación anualizada '!F18:M18)/$B$5</f>
        <v>46615.436130000009</v>
      </c>
      <c r="E19" s="166">
        <f>SUM('Estimación anualizada '!N18:U18)/$B$5</f>
        <v>31976.735000000004</v>
      </c>
      <c r="F19" s="310">
        <f t="shared" si="0"/>
        <v>1.0717508888272975E-2</v>
      </c>
    </row>
    <row r="20" spans="1:6" s="203" customFormat="1" x14ac:dyDescent="0.2">
      <c r="A20" s="54" t="str">
        <f>'Estimación anualizada '!A19</f>
        <v>4.1. Contribución a la gestión del ordenamiento ambiental, fuera de la frontera agrícola.</v>
      </c>
      <c r="B20" s="54">
        <f>'Estimación anualizada '!V19/$B$5</f>
        <v>3089.5396350000001</v>
      </c>
      <c r="C20" s="54">
        <f>SUM('Estimación anualizada '!B19:E19)/$B$5</f>
        <v>2265.6623989999998</v>
      </c>
      <c r="D20" s="54">
        <f>SUM('Estimación anualizada '!F19:M19)/$B$5</f>
        <v>823.87723600000004</v>
      </c>
      <c r="E20" s="54">
        <f>SUM('Estimación anualizada '!N19:U19)/$B$5</f>
        <v>0</v>
      </c>
      <c r="F20" s="217">
        <f t="shared" si="0"/>
        <v>0</v>
      </c>
    </row>
    <row r="21" spans="1:6" s="203" customFormat="1" x14ac:dyDescent="0.2">
      <c r="A21" s="54" t="str">
        <f>'Estimación anualizada '!A20</f>
        <v>4.2. Promoción del manejo eficiente del suelo y del agua, en la producción de maíz.</v>
      </c>
      <c r="B21" s="54">
        <f>'Estimación anualizada '!V20/$B$5</f>
        <v>101329.62217450002</v>
      </c>
      <c r="C21" s="54">
        <f>SUM('Estimación anualizada '!B20:E20)/$B$5</f>
        <v>23561.328280500005</v>
      </c>
      <c r="D21" s="54">
        <f>SUM('Estimación anualizada '!F20:M20)/$B$5</f>
        <v>45791.558894000009</v>
      </c>
      <c r="E21" s="54">
        <f>SUM('Estimación anualizada '!N20:U20)/$B$5</f>
        <v>31976.735000000004</v>
      </c>
      <c r="F21" s="217">
        <f t="shared" si="0"/>
        <v>1.0717508888272975E-2</v>
      </c>
    </row>
    <row r="22" spans="1:6" s="203" customFormat="1" ht="22.5" customHeight="1" x14ac:dyDescent="0.2">
      <c r="A22" s="166" t="str">
        <f>'Estimación anualizada '!A21</f>
        <v xml:space="preserve">5. Fortalecimiento de la gestión ambiental en la cadena maicera.
</v>
      </c>
      <c r="B22" s="166">
        <f>'Estimación anualizada '!V21/$B$5</f>
        <v>21593.230348064</v>
      </c>
      <c r="C22" s="166">
        <f>SUM('Estimación anualizada '!B21:E21)/$B$5</f>
        <v>8097.4613805240015</v>
      </c>
      <c r="D22" s="166">
        <f>SUM('Estimación anualizada '!F21:M21)/$B$5</f>
        <v>5398.307587016001</v>
      </c>
      <c r="E22" s="166">
        <f>SUM('Estimación anualizada '!N21:U21)/$B$5</f>
        <v>8097.4613805240015</v>
      </c>
      <c r="F22" s="310">
        <f t="shared" si="0"/>
        <v>2.7139923546982869E-3</v>
      </c>
    </row>
    <row r="23" spans="1:6" s="203" customFormat="1" x14ac:dyDescent="0.2">
      <c r="A23" s="54" t="str">
        <f>'Estimación anualizada '!A22</f>
        <v>5.1. Mejora del desempeño ambiental de la cadena de maíz.</v>
      </c>
      <c r="B23" s="54">
        <f>'Estimación anualizada '!V22/$B$5</f>
        <v>21593.230348064</v>
      </c>
      <c r="C23" s="54">
        <f>SUM('Estimación anualizada '!B22:E22)/$B$5</f>
        <v>8097.4613805240015</v>
      </c>
      <c r="D23" s="54">
        <f>SUM('Estimación anualizada '!F22:M22)/$B$5</f>
        <v>5398.307587016001</v>
      </c>
      <c r="E23" s="54">
        <f>SUM('Estimación anualizada '!N22:U22)/$B$5</f>
        <v>8097.4613805240015</v>
      </c>
      <c r="F23" s="217">
        <f t="shared" si="0"/>
        <v>2.7139923546982869E-3</v>
      </c>
    </row>
    <row r="24" spans="1:6" s="203" customFormat="1" ht="30" x14ac:dyDescent="0.2">
      <c r="A24" s="166" t="str">
        <f>'Estimación anualizada '!A23</f>
        <v xml:space="preserve">6. Contribución al mejoramiento en las condiciones de vida de la población vinculada a la cadena de maíz. </v>
      </c>
      <c r="B24" s="166">
        <f>'Estimación anualizada '!V23/$B$5</f>
        <v>208820.46365339481</v>
      </c>
      <c r="C24" s="166">
        <f>SUM('Estimación anualizada '!B23:E23)/$B$5</f>
        <v>38916.425003113334</v>
      </c>
      <c r="D24" s="166">
        <f>SUM('Estimación anualizada '!F23:M23)/$B$5</f>
        <v>89626.33996732322</v>
      </c>
      <c r="E24" s="166">
        <f>SUM('Estimación anualizada '!N23:U23)/$B$5</f>
        <v>80277.698682958217</v>
      </c>
      <c r="F24" s="310">
        <f t="shared" si="0"/>
        <v>2.6906341412427013E-2</v>
      </c>
    </row>
    <row r="25" spans="1:6" s="203" customFormat="1" x14ac:dyDescent="0.2">
      <c r="A25" s="54" t="str">
        <f>'Estimación anualizada '!A24</f>
        <v>6.1  Promoción de la atención de las necesidades básicas de los actores vinculados a la cadena.</v>
      </c>
      <c r="B25" s="54">
        <f>'Estimación anualizada '!V24/$B$5</f>
        <v>64607.271652000003</v>
      </c>
      <c r="C25" s="54">
        <f>SUM('Estimación anualizada '!B24:E24)/$B$5</f>
        <v>10907.721188</v>
      </c>
      <c r="D25" s="54">
        <f>SUM('Estimación anualizada '!F24:M24)/$B$5</f>
        <v>26849.775232</v>
      </c>
      <c r="E25" s="54">
        <f>SUM('Estimación anualizada '!N24:U24)/$B$5</f>
        <v>26849.775232</v>
      </c>
      <c r="F25" s="217">
        <f t="shared" si="0"/>
        <v>8.9991271684583037E-3</v>
      </c>
    </row>
    <row r="26" spans="1:6" s="203" customFormat="1" x14ac:dyDescent="0.2">
      <c r="A26" s="54" t="str">
        <f>'Estimación anualizada '!A25</f>
        <v>6.2. Contribución al incremento del nivel educativo de los actores vinculados a la cadena.</v>
      </c>
      <c r="B26" s="54">
        <f>'Estimación anualizada '!V25/$B$5</f>
        <v>13629.695771999999</v>
      </c>
      <c r="C26" s="54">
        <f>SUM('Estimación anualizada '!B25:E25)/$B$5</f>
        <v>2301.1174679999999</v>
      </c>
      <c r="D26" s="54">
        <f>SUM('Estimación anualizada '!F25:M25)/$B$5</f>
        <v>5664.2891520000003</v>
      </c>
      <c r="E26" s="54">
        <f>SUM('Estimación anualizada '!N25:U25)/$B$5</f>
        <v>5664.2891520000003</v>
      </c>
      <c r="F26" s="217">
        <f t="shared" si="0"/>
        <v>1.8984761681362463E-3</v>
      </c>
    </row>
    <row r="27" spans="1:6" s="203" customFormat="1" x14ac:dyDescent="0.2">
      <c r="A27" s="54" t="str">
        <f>'Estimación anualizada '!A26</f>
        <v>6.3. Mejora en las capacidades técnicas de los agentes económicos de la cadena</v>
      </c>
      <c r="B27" s="54">
        <f>'Estimación anualizada '!V26/$B$5</f>
        <v>81822.881050094787</v>
      </c>
      <c r="C27" s="54">
        <f>SUM('Estimación anualizada '!B26:E26)/$B$5</f>
        <v>16343.390507813334</v>
      </c>
      <c r="D27" s="54">
        <f>SUM('Estimación anualizada '!F26:M26)/$B$5</f>
        <v>36180.688560123228</v>
      </c>
      <c r="E27" s="54">
        <f>SUM('Estimación anualizada '!N26:U26)/$B$5</f>
        <v>29298.801982158227</v>
      </c>
      <c r="F27" s="217">
        <f t="shared" si="0"/>
        <v>9.8199572489039502E-3</v>
      </c>
    </row>
    <row r="28" spans="1:6" s="203" customFormat="1" x14ac:dyDescent="0.2">
      <c r="A28" s="54" t="str">
        <f>'Estimación anualizada '!A27</f>
        <v>6.4. Promoción de la generación del empleo formal y la mejora de las condiciones laborales a lo largo de la cadena.</v>
      </c>
      <c r="B28" s="54">
        <f>'Estimación anualizada '!V27/$B$5</f>
        <v>45018.273391800009</v>
      </c>
      <c r="C28" s="54">
        <f>SUM('Estimación anualizada '!B27:E27)/$B$5</f>
        <v>8016.952795799999</v>
      </c>
      <c r="D28" s="54">
        <f>SUM('Estimación anualizada '!F27:M27)/$B$5</f>
        <v>19734.0376512</v>
      </c>
      <c r="E28" s="54">
        <f>SUM('Estimación anualizada '!N27:U27)/$B$5</f>
        <v>17267.282944799997</v>
      </c>
      <c r="F28" s="217">
        <f t="shared" si="0"/>
        <v>5.7874031991452003E-3</v>
      </c>
    </row>
    <row r="29" spans="1:6" s="203" customFormat="1" x14ac:dyDescent="0.2">
      <c r="A29" s="54" t="str">
        <f>'Estimación anualizada '!A28</f>
        <v>6.5. Contribución a la mejora de condiciones de conectividad vial y de servicios públicos, en las regiones maiceras.</v>
      </c>
      <c r="B29" s="54">
        <f>'Estimación anualizada '!V28/$B$5</f>
        <v>3742.3417875</v>
      </c>
      <c r="C29" s="54">
        <f>SUM('Estimación anualizada '!B28:E28)/$B$5</f>
        <v>1347.2430435000001</v>
      </c>
      <c r="D29" s="54">
        <f>SUM('Estimación anualizada '!F28:M28)/$B$5</f>
        <v>1197.5493719999999</v>
      </c>
      <c r="E29" s="54">
        <f>SUM('Estimación anualizada '!N28:U28)/$B$5</f>
        <v>1197.5493719999999</v>
      </c>
      <c r="F29" s="217">
        <f t="shared" si="0"/>
        <v>4.0137762778331553E-4</v>
      </c>
    </row>
    <row r="30" spans="1:6" s="203" customFormat="1" ht="15" x14ac:dyDescent="0.2">
      <c r="A30" s="166" t="str">
        <f>'Estimación anualizada '!A29</f>
        <v>7. Contribución al ordenamiento productivo y social de la propiedad.</v>
      </c>
      <c r="B30" s="166">
        <f>'Estimación anualizada '!V29/$B$5</f>
        <v>52239.074348499998</v>
      </c>
      <c r="C30" s="166">
        <f>SUM('Estimación anualizada '!B29:E29)/$B$5</f>
        <v>9284.7335165000004</v>
      </c>
      <c r="D30" s="166">
        <f>SUM('Estimación anualizada '!F29:M29)/$B$5</f>
        <v>21569.007632000001</v>
      </c>
      <c r="E30" s="166">
        <f>SUM('Estimación anualizada '!N29:U29)/$B$5</f>
        <v>21385.333200000001</v>
      </c>
      <c r="F30" s="310">
        <f t="shared" si="0"/>
        <v>7.1676329259281512E-3</v>
      </c>
    </row>
    <row r="31" spans="1:6" s="203" customFormat="1" x14ac:dyDescent="0.2">
      <c r="A31" s="54" t="str">
        <f>'Estimación anualizada '!A30</f>
        <v>7.1. Articulación con las políticas de ordenamiento productivo y social de la propiedad rural para el cultivo de maíz.</v>
      </c>
      <c r="B31" s="54">
        <f>'Estimación anualizada '!V30/$B$5</f>
        <v>14243.132557499999</v>
      </c>
      <c r="C31" s="54">
        <f>SUM('Estimación anualizada '!B30:E30)/$B$5</f>
        <v>2219.7089700000001</v>
      </c>
      <c r="D31" s="54">
        <f>SUM('Estimación anualizada '!F30:M30)/$B$5</f>
        <v>5919.2239200000004</v>
      </c>
      <c r="E31" s="54">
        <f>SUM('Estimación anualizada '!N30:U30)/$B$5</f>
        <v>5919.2239200000004</v>
      </c>
      <c r="F31" s="217">
        <f t="shared" si="0"/>
        <v>1.9839215909403509E-3</v>
      </c>
    </row>
    <row r="32" spans="1:6" s="203" customFormat="1" x14ac:dyDescent="0.2">
      <c r="A32" s="54" t="str">
        <f>'Estimación anualizada '!A31</f>
        <v xml:space="preserve">7.2  Fortalecimiento en el acceso y la seguridad jurídica de los predios e inversiones para el cultivo de maíz. </v>
      </c>
      <c r="B32" s="54">
        <f>'Estimación anualizada '!V31/$B$5</f>
        <v>37995.941790999997</v>
      </c>
      <c r="C32" s="54">
        <f>SUM('Estimación anualizada '!B31:E31)/$B$5</f>
        <v>6880.0487990000001</v>
      </c>
      <c r="D32" s="54">
        <f>SUM('Estimación anualizada '!F31:M31)/$B$5</f>
        <v>15649.783712</v>
      </c>
      <c r="E32" s="54">
        <f>SUM('Estimación anualizada '!N31:U31)/$B$5</f>
        <v>15466.109280000001</v>
      </c>
      <c r="F32" s="217">
        <f t="shared" si="0"/>
        <v>5.1837113349878011E-3</v>
      </c>
    </row>
    <row r="33" spans="1:6" s="203" customFormat="1" ht="15" x14ac:dyDescent="0.2">
      <c r="A33" s="166" t="str">
        <f>'Estimación anualizada '!A32</f>
        <v>8. Fortalecimiento del desarrollo tecnológico y la innovación en la cadena de maíz.</v>
      </c>
      <c r="B33" s="166">
        <f>'Estimación anualizada '!V32/$B$5</f>
        <v>27234.2557845095</v>
      </c>
      <c r="C33" s="166">
        <f>SUM('Estimación anualizada '!B32:E32)/$B$5</f>
        <v>12760.352347006999</v>
      </c>
      <c r="D33" s="166">
        <f>SUM('Estimación anualizada '!F32:M32)/$B$5</f>
        <v>6901.2005435025003</v>
      </c>
      <c r="E33" s="166">
        <f>SUM('Estimación anualizada '!N32:U32)/$B$5</f>
        <v>7572.702894</v>
      </c>
      <c r="F33" s="310">
        <f t="shared" si="0"/>
        <v>2.5381112416478879E-3</v>
      </c>
    </row>
    <row r="34" spans="1:6" s="203" customFormat="1" x14ac:dyDescent="0.2">
      <c r="A34" s="54" t="str">
        <f>'Estimación anualizada '!A33</f>
        <v>8.1. Fortalecimiento de los procesos I+D+i para la cadena de maíz y sus derivados.</v>
      </c>
      <c r="B34" s="54">
        <f>'Estimación anualizada '!V33/$B$5</f>
        <v>7040.3814005094991</v>
      </c>
      <c r="C34" s="54">
        <f>SUM('Estimación anualizada '!B33:E33)/$B$5</f>
        <v>5187.6494530070004</v>
      </c>
      <c r="D34" s="54">
        <f>SUM('Estimación anualizada '!F33:M33)/$B$5</f>
        <v>1852.7319475025001</v>
      </c>
      <c r="E34" s="54">
        <f>SUM('Estimación anualizada '!N33:U33)/$B$5</f>
        <v>0</v>
      </c>
      <c r="F34" s="217">
        <f t="shared" si="0"/>
        <v>0</v>
      </c>
    </row>
    <row r="35" spans="1:6" s="203" customFormat="1" x14ac:dyDescent="0.2">
      <c r="A35" s="54" t="str">
        <f>'Estimación anualizada '!A34</f>
        <v>8.2. Fortalecimiento del talento humano en I+D+i, y en extensionismo agrícola e industrial.</v>
      </c>
      <c r="B35" s="54">
        <f>'Estimación anualizada '!V34/$B$5</f>
        <v>20193.874383999999</v>
      </c>
      <c r="C35" s="54">
        <f>SUM('Estimación anualizada '!B34:E34)/$B$5</f>
        <v>7572.702894</v>
      </c>
      <c r="D35" s="54">
        <f>SUM('Estimación anualizada '!F34:M34)/$B$5</f>
        <v>5048.4685959999997</v>
      </c>
      <c r="E35" s="54">
        <f>SUM('Estimación anualizada '!N34:U34)/$B$5</f>
        <v>7572.702894</v>
      </c>
      <c r="F35" s="217">
        <f t="shared" si="0"/>
        <v>2.5381112416478879E-3</v>
      </c>
    </row>
    <row r="36" spans="1:6" s="203" customFormat="1" ht="15" x14ac:dyDescent="0.2">
      <c r="A36" s="166" t="str">
        <f>'Estimación anualizada '!A35</f>
        <v>9. Fortalecimiento de la gestión institucional de la cadena de maíz</v>
      </c>
      <c r="B36" s="166">
        <f>'Estimación anualizada '!V35/$B$5</f>
        <v>11686.193987750001</v>
      </c>
      <c r="C36" s="166">
        <f>SUM('Estimación anualizada '!B35:E35)/$B$5</f>
        <v>6061.4876737499999</v>
      </c>
      <c r="D36" s="166">
        <f>SUM('Estimación anualizada '!F35:M35)/$B$5</f>
        <v>3094.6724654999998</v>
      </c>
      <c r="E36" s="166">
        <f>SUM('Estimación anualizada '!N35:U35)/$B$5</f>
        <v>2530.0338485000002</v>
      </c>
      <c r="F36" s="310">
        <f t="shared" si="0"/>
        <v>8.4798089169923791E-4</v>
      </c>
    </row>
    <row r="37" spans="1:6" s="203" customFormat="1" x14ac:dyDescent="0.2">
      <c r="A37" s="54" t="str">
        <f>'Estimación anualizada '!A36</f>
        <v>9.1. Fortalecimiento del Sistema de Inspección, Vigilancia y Control para la cadena de maíz.</v>
      </c>
      <c r="B37" s="54">
        <f>'Estimación anualizada '!V36/$B$5</f>
        <v>2057.7055274999998</v>
      </c>
      <c r="C37" s="54">
        <f>SUM('Estimación anualizada '!B36:E36)/$B$5</f>
        <v>2057.7055274999998</v>
      </c>
      <c r="D37" s="54">
        <f>SUM('Estimación anualizada '!F36:M36)/$B$5</f>
        <v>0</v>
      </c>
      <c r="E37" s="54">
        <f>SUM('Estimación anualizada '!N36:U36)/$B$5</f>
        <v>0</v>
      </c>
      <c r="F37" s="217">
        <f t="shared" si="0"/>
        <v>0</v>
      </c>
    </row>
    <row r="38" spans="1:6" s="203" customFormat="1" x14ac:dyDescent="0.2">
      <c r="A38" s="54" t="str">
        <f>'Estimación anualizada '!A37</f>
        <v>9.2. Diseño y mejora de los instrumentos de financiamiento, comercialización, gestión de riesgos y empresarización para la cadena de maíz.</v>
      </c>
      <c r="B38" s="54">
        <f>'Estimación anualizada '!V37/$B$5</f>
        <v>1566.1648700000001</v>
      </c>
      <c r="C38" s="54">
        <f>SUM('Estimación anualizada '!B37:E37)/$B$5</f>
        <v>247.28918999999999</v>
      </c>
      <c r="D38" s="54">
        <f>SUM('Estimación anualizada '!F37:M37)/$B$5</f>
        <v>659.43784000000005</v>
      </c>
      <c r="E38" s="54">
        <f>SUM('Estimación anualizada '!N37:U37)/$B$5</f>
        <v>659.43784000000005</v>
      </c>
      <c r="F38" s="217">
        <f t="shared" si="0"/>
        <v>2.2102103017908277E-4</v>
      </c>
    </row>
    <row r="39" spans="1:6" s="203" customFormat="1" x14ac:dyDescent="0.2">
      <c r="A39" s="54" t="str">
        <f>'Estimación anualizada '!A38</f>
        <v>9.3. Fortalecimiento de mecanismos institucionales para el impulso a las inversiones en producción de maíz a mediana y gran escala.</v>
      </c>
      <c r="B39" s="54">
        <f>'Estimación anualizada '!V38/$B$5</f>
        <v>3917.8721744999998</v>
      </c>
      <c r="C39" s="54">
        <f>SUM('Estimación anualizada '!B38:E38)/$B$5</f>
        <v>1305.9573915000001</v>
      </c>
      <c r="D39" s="54">
        <f>SUM('Estimación anualizada '!F38:M38)/$B$5</f>
        <v>1305.9573915000001</v>
      </c>
      <c r="E39" s="54">
        <f>SUM('Estimación anualizada '!N38:U38)/$B$5</f>
        <v>1305.9573915000001</v>
      </c>
      <c r="F39" s="217">
        <f t="shared" si="0"/>
        <v>4.3771229148651476E-4</v>
      </c>
    </row>
    <row r="40" spans="1:6" s="203" customFormat="1" x14ac:dyDescent="0.2">
      <c r="A40" s="54" t="str">
        <f>'Estimación anualizada '!A39</f>
        <v>9.4. Diseño y operación del Sistema nacional de Información para la cadena de maíz.</v>
      </c>
      <c r="B40" s="54">
        <f>'Estimación anualizada '!V39/$B$5</f>
        <v>2117.3948137500001</v>
      </c>
      <c r="C40" s="54">
        <f>SUM('Estimación anualizada '!B39:E39)/$B$5</f>
        <v>423.47896274999999</v>
      </c>
      <c r="D40" s="54">
        <f>SUM('Estimación anualizada '!F39:M39)/$B$5</f>
        <v>1129.2772339999999</v>
      </c>
      <c r="E40" s="54">
        <f>SUM('Estimación anualizada '!N39:U39)/$B$5</f>
        <v>564.63861699999995</v>
      </c>
      <c r="F40" s="217">
        <f t="shared" si="0"/>
        <v>1.8924757003364035E-4</v>
      </c>
    </row>
    <row r="41" spans="1:6" s="203" customFormat="1" x14ac:dyDescent="0.2">
      <c r="A41" s="54" t="str">
        <f>'Estimación anualizada '!A40</f>
        <v>9.5. Constitución y fortalecimiento de la Organización de Cadena de maíz.</v>
      </c>
      <c r="B41" s="54">
        <f>'Estimación anualizada '!V40/$B$5</f>
        <v>960.94347300000004</v>
      </c>
      <c r="C41" s="54">
        <f>SUM('Estimación anualizada '!B40:E40)/$B$5</f>
        <v>960.94347300000004</v>
      </c>
      <c r="D41" s="54">
        <f>SUM('Estimación anualizada '!F40:M40)/$B$5</f>
        <v>0</v>
      </c>
      <c r="E41" s="54">
        <f>SUM('Estimación anualizada '!N40:U40)/$B$5</f>
        <v>0</v>
      </c>
      <c r="F41" s="217">
        <f t="shared" si="0"/>
        <v>0</v>
      </c>
    </row>
    <row r="42" spans="1:6" s="203" customFormat="1" x14ac:dyDescent="0.2">
      <c r="A42" s="54" t="str">
        <f>'Estimación anualizada '!A41</f>
        <v>9.6. Adopción, promoción y monitoreo de la política pública para la cadena de maíz.</v>
      </c>
      <c r="B42" s="54">
        <f>'Estimación anualizada '!V41/$B$5</f>
        <v>1066.1131290000001</v>
      </c>
      <c r="C42" s="54">
        <f>SUM('Estimación anualizada '!B41:E41)/$B$5</f>
        <v>1066.1131290000001</v>
      </c>
      <c r="D42" s="54">
        <f>SUM('Estimación anualizada '!F41:M41)/$B$5</f>
        <v>0</v>
      </c>
      <c r="E42" s="54">
        <f>SUM('Estimación anualizada '!N41:U41)/$B$5</f>
        <v>0</v>
      </c>
      <c r="F42" s="217">
        <f t="shared" si="0"/>
        <v>0</v>
      </c>
    </row>
    <row r="43" spans="1:6" s="208" customFormat="1" ht="15.75" x14ac:dyDescent="0.2">
      <c r="A43" s="207" t="s">
        <v>286</v>
      </c>
      <c r="B43" s="170">
        <f>'Estimación anualizada '!V42/$B$5</f>
        <v>2983597.712243442</v>
      </c>
      <c r="C43" s="170">
        <f>SUM('Estimación anualizada '!B42:E42)/$B$5</f>
        <v>605418.88845508348</v>
      </c>
      <c r="D43" s="170">
        <f>SUM('Estimación anualizada '!F42:M42)/$B$5</f>
        <v>1387012.103463528</v>
      </c>
      <c r="E43" s="170">
        <f>SUM('Estimación anualizada '!N42:U42)/$B$5</f>
        <v>991166.7203248305</v>
      </c>
      <c r="F43" s="311">
        <f t="shared" si="0"/>
        <v>0.33220521528673091</v>
      </c>
    </row>
    <row r="44" spans="1:6" s="167" customFormat="1" ht="15.75" x14ac:dyDescent="0.2">
      <c r="C44" s="311">
        <f>C43/B43</f>
        <v>0.20291572351416431</v>
      </c>
      <c r="D44" s="311">
        <f>D43/B43</f>
        <v>0.46487906119910477</v>
      </c>
      <c r="E44" s="311">
        <f>E43/B43</f>
        <v>0.33220521528673091</v>
      </c>
      <c r="F44" s="373">
        <f t="shared" si="0"/>
        <v>1.1134383630993519E-7</v>
      </c>
    </row>
  </sheetData>
  <sheetProtection algorithmName="SHA-512" hashValue="UVCOjzqBr44sr0wfRONeNNGV8vFBTzhKTDAJXq+S771hbBkv91PZgjLotCEu0ssU/5TQ/LSqL8l6P5iH0iqwvg==" saltValue="9xyiRwhf0i54cpjh1xofnQ==" spinCount="100000" sheet="1" objects="1" scenarios="1"/>
  <mergeCells count="2">
    <mergeCell ref="A1:E1"/>
    <mergeCell ref="A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zoomScale="70" zoomScaleNormal="70" workbookViewId="0">
      <selection activeCell="A48" sqref="A48"/>
    </sheetView>
  </sheetViews>
  <sheetFormatPr baseColWidth="10" defaultColWidth="10.85546875" defaultRowHeight="14.25" x14ac:dyDescent="0.2"/>
  <cols>
    <col min="1" max="1" width="84.140625" style="359" customWidth="1"/>
    <col min="2" max="2" width="28.42578125" style="53" customWidth="1"/>
    <col min="3" max="3" width="10.42578125" style="53" customWidth="1"/>
    <col min="4" max="4" width="10.7109375" style="53" customWidth="1"/>
    <col min="5" max="5" width="16.7109375" style="53" customWidth="1"/>
    <col min="6" max="6" width="18.42578125" style="53" customWidth="1"/>
    <col min="7" max="7" width="16.85546875" style="53" customWidth="1"/>
    <col min="8" max="8" width="15.7109375" style="53" customWidth="1"/>
    <col min="9" max="9" width="25.42578125" style="53" customWidth="1"/>
    <col min="10" max="10" width="21.28515625" style="53" bestFit="1" customWidth="1"/>
    <col min="11" max="11" width="16.42578125" style="53" customWidth="1"/>
    <col min="12" max="12" width="17.85546875" style="53" customWidth="1"/>
    <col min="13" max="13" width="19.42578125" style="53" customWidth="1"/>
    <col min="14" max="14" width="15.7109375" style="53" customWidth="1"/>
    <col min="15" max="15" width="16.7109375" style="53" customWidth="1"/>
    <col min="16" max="16" width="23.28515625" style="53" customWidth="1"/>
    <col min="17" max="17" width="23.140625" style="53" bestFit="1" customWidth="1"/>
    <col min="18" max="16384" width="10.85546875" style="53"/>
  </cols>
  <sheetData>
    <row r="1" spans="1:17" ht="18.75" customHeight="1" x14ac:dyDescent="0.25">
      <c r="A1" s="715" t="s">
        <v>403</v>
      </c>
      <c r="B1" s="715"/>
      <c r="C1" s="715"/>
      <c r="D1" s="715"/>
      <c r="E1" s="715"/>
      <c r="F1" s="716"/>
      <c r="G1" s="716"/>
      <c r="H1" s="716"/>
      <c r="I1" s="716"/>
      <c r="J1" s="716"/>
      <c r="K1" s="716"/>
      <c r="L1" s="716"/>
      <c r="M1" s="716"/>
      <c r="N1" s="716"/>
      <c r="O1" s="716"/>
      <c r="P1" s="716"/>
    </row>
    <row r="2" spans="1:17" ht="18" customHeight="1" x14ac:dyDescent="0.25">
      <c r="A2" s="715" t="s">
        <v>404</v>
      </c>
      <c r="B2" s="715"/>
      <c r="C2" s="715"/>
      <c r="D2" s="715"/>
      <c r="E2" s="715"/>
      <c r="F2" s="716"/>
      <c r="G2" s="716"/>
      <c r="H2" s="716"/>
      <c r="I2" s="716"/>
      <c r="J2" s="716"/>
      <c r="K2" s="716"/>
      <c r="L2" s="716"/>
      <c r="M2" s="716"/>
      <c r="N2" s="716"/>
      <c r="O2" s="716"/>
      <c r="P2" s="716"/>
    </row>
    <row r="3" spans="1:17" ht="18.75" x14ac:dyDescent="0.3">
      <c r="A3" s="358"/>
      <c r="B3" s="222"/>
      <c r="C3" s="222"/>
      <c r="D3" s="222"/>
      <c r="E3" s="222"/>
    </row>
    <row r="5" spans="1:17" ht="69" customHeight="1" x14ac:dyDescent="0.2">
      <c r="A5" s="628" t="s">
        <v>285</v>
      </c>
      <c r="B5" s="344" t="s">
        <v>328</v>
      </c>
      <c r="C5" s="360" t="s">
        <v>389</v>
      </c>
      <c r="D5" s="362" t="s">
        <v>390</v>
      </c>
      <c r="E5" s="344" t="s">
        <v>391</v>
      </c>
      <c r="F5" s="360" t="s">
        <v>392</v>
      </c>
      <c r="G5" s="362" t="s">
        <v>393</v>
      </c>
      <c r="H5" s="344" t="s">
        <v>394</v>
      </c>
      <c r="I5" s="360" t="s">
        <v>395</v>
      </c>
      <c r="J5" s="360" t="s">
        <v>396</v>
      </c>
      <c r="K5" s="360" t="s">
        <v>397</v>
      </c>
      <c r="L5" s="360" t="s">
        <v>398</v>
      </c>
      <c r="M5" s="371" t="s">
        <v>399</v>
      </c>
      <c r="N5" s="371" t="s">
        <v>400</v>
      </c>
      <c r="O5" s="371" t="s">
        <v>401</v>
      </c>
      <c r="P5" s="371" t="s">
        <v>402</v>
      </c>
    </row>
    <row r="6" spans="1:17" s="346" customFormat="1" ht="15" x14ac:dyDescent="0.25">
      <c r="A6" s="629" t="str">
        <f>'Estimación por período'!A7</f>
        <v>1. Incremento del consumo de maíz nacional.</v>
      </c>
      <c r="B6" s="349">
        <f>'Estimación por período'!B7</f>
        <v>133333.63232303745</v>
      </c>
      <c r="C6" s="348">
        <f>F6/B6</f>
        <v>0.76917691209948835</v>
      </c>
      <c r="D6" s="348">
        <f>G6/B6</f>
        <v>0.23082308790051181</v>
      </c>
      <c r="E6" s="348">
        <f>H6/B6</f>
        <v>0</v>
      </c>
      <c r="F6" s="349">
        <f>F7+F8</f>
        <v>102557.15158924248</v>
      </c>
      <c r="G6" s="349">
        <f t="shared" ref="G6:H6" si="0">G7+G8</f>
        <v>30776.480733794997</v>
      </c>
      <c r="H6" s="349">
        <f t="shared" si="0"/>
        <v>0</v>
      </c>
      <c r="I6" s="348">
        <f>M6/$F$6</f>
        <v>0.4797815401802194</v>
      </c>
      <c r="J6" s="348">
        <f t="shared" ref="J6:L6" si="1">N6/$F$6</f>
        <v>0</v>
      </c>
      <c r="K6" s="348">
        <f t="shared" si="1"/>
        <v>0.3202184598197807</v>
      </c>
      <c r="L6" s="348">
        <f t="shared" si="1"/>
        <v>0.20000000000000004</v>
      </c>
      <c r="M6" s="349">
        <f>M7+M8</f>
        <v>49205.028145982993</v>
      </c>
      <c r="N6" s="349">
        <f t="shared" ref="N6:P6" si="2">N7+N8</f>
        <v>0</v>
      </c>
      <c r="O6" s="349">
        <f t="shared" si="2"/>
        <v>32840.693125411002</v>
      </c>
      <c r="P6" s="349">
        <f t="shared" si="2"/>
        <v>20511.430317848499</v>
      </c>
      <c r="Q6" s="361"/>
    </row>
    <row r="7" spans="1:17" s="345" customFormat="1" ht="15" x14ac:dyDescent="0.25">
      <c r="A7" s="629" t="str">
        <f>'Estimación por período'!A8</f>
        <v>1.1. Aumento de la participación del maíz nacional en el mercado de consumo animal.</v>
      </c>
      <c r="B7" s="350">
        <f>'Estimación por período'!B8</f>
        <v>82195.085383750004</v>
      </c>
      <c r="C7" s="351">
        <v>0.75</v>
      </c>
      <c r="D7" s="351">
        <v>0.25</v>
      </c>
      <c r="E7" s="351"/>
      <c r="F7" s="350">
        <f>B7*C7</f>
        <v>61646.314037812503</v>
      </c>
      <c r="G7" s="350">
        <f>B7*D7</f>
        <v>20548.771345937501</v>
      </c>
      <c r="H7" s="350">
        <f>B7*E7</f>
        <v>0</v>
      </c>
      <c r="I7" s="352">
        <v>0.4</v>
      </c>
      <c r="J7" s="352"/>
      <c r="K7" s="352">
        <v>0.4</v>
      </c>
      <c r="L7" s="352">
        <v>0.2</v>
      </c>
      <c r="M7" s="350">
        <f>$F7*I7</f>
        <v>24658.525615125003</v>
      </c>
      <c r="N7" s="350">
        <f>F7*J7</f>
        <v>0</v>
      </c>
      <c r="O7" s="350">
        <f>F7*K7</f>
        <v>24658.525615125003</v>
      </c>
      <c r="P7" s="350">
        <f>F7*L7</f>
        <v>12329.262807562502</v>
      </c>
      <c r="Q7" s="361"/>
    </row>
    <row r="8" spans="1:17" s="345" customFormat="1" ht="15" x14ac:dyDescent="0.25">
      <c r="A8" s="630" t="str">
        <f>'Estimación por período'!A9</f>
        <v>1.2. Posicionamiento de la oferta del maíz nacional y sus derivados, para  alimentación humana y otros usos.</v>
      </c>
      <c r="B8" s="350">
        <f>'Estimación por período'!B9</f>
        <v>51138.54693928748</v>
      </c>
      <c r="C8" s="351">
        <v>0.8</v>
      </c>
      <c r="D8" s="351">
        <v>0.2</v>
      </c>
      <c r="E8" s="351"/>
      <c r="F8" s="350">
        <f>B8*C8</f>
        <v>40910.837551429984</v>
      </c>
      <c r="G8" s="350">
        <f>B8*D8</f>
        <v>10227.709387857496</v>
      </c>
      <c r="H8" s="350">
        <f>B8*E8</f>
        <v>0</v>
      </c>
      <c r="I8" s="352">
        <v>0.6</v>
      </c>
      <c r="J8" s="353"/>
      <c r="K8" s="352">
        <v>0.2</v>
      </c>
      <c r="L8" s="352">
        <v>0.2</v>
      </c>
      <c r="M8" s="350">
        <f t="shared" ref="M8:M41" si="3">$F8*I8</f>
        <v>24546.50253085799</v>
      </c>
      <c r="N8" s="350">
        <f t="shared" ref="N8:N41" si="4">F8*J8</f>
        <v>0</v>
      </c>
      <c r="O8" s="350">
        <f t="shared" ref="O8:O41" si="5">F8*K8</f>
        <v>8182.1675102859972</v>
      </c>
      <c r="P8" s="350">
        <f t="shared" ref="P8:P41" si="6">F8*L8</f>
        <v>8182.1675102859972</v>
      </c>
      <c r="Q8" s="361"/>
    </row>
    <row r="9" spans="1:17" s="346" customFormat="1" ht="15" x14ac:dyDescent="0.25">
      <c r="A9" s="629" t="str">
        <f>'Estimación por período'!A10</f>
        <v>2. Mejoramiento productivo del cultivo de maíz.</v>
      </c>
      <c r="B9" s="354">
        <f>'Estimación por período'!B10</f>
        <v>1023770.878824</v>
      </c>
      <c r="C9" s="348">
        <f>F9/B9</f>
        <v>0.9488988163748171</v>
      </c>
      <c r="D9" s="348">
        <f>G9/B9</f>
        <v>3.1248008108540511E-2</v>
      </c>
      <c r="E9" s="348">
        <f>H9/B9</f>
        <v>1.9853175516642292E-2</v>
      </c>
      <c r="F9" s="354">
        <f>F10+F11</f>
        <v>971454.97515509988</v>
      </c>
      <c r="G9" s="354">
        <f t="shared" ref="G9:H9" si="7">G10+G11</f>
        <v>31990.800722779997</v>
      </c>
      <c r="H9" s="354">
        <f t="shared" si="7"/>
        <v>20325.102946120001</v>
      </c>
      <c r="I9" s="348">
        <f>M9/F9</f>
        <v>0.89752429690796942</v>
      </c>
      <c r="J9" s="348">
        <f>N9/F9</f>
        <v>0</v>
      </c>
      <c r="K9" s="348">
        <f>O9/F9</f>
        <v>0.10092838865951149</v>
      </c>
      <c r="L9" s="348">
        <f>P9/F9</f>
        <v>1.5473144325191311E-3</v>
      </c>
      <c r="M9" s="355">
        <f>M10+M11</f>
        <v>871904.44355382991</v>
      </c>
      <c r="N9" s="355">
        <f t="shared" ref="N9:P9" si="8">N10+N11</f>
        <v>0</v>
      </c>
      <c r="O9" s="355">
        <f t="shared" si="8"/>
        <v>98047.38529767</v>
      </c>
      <c r="P9" s="355">
        <f t="shared" si="8"/>
        <v>1503.1463036</v>
      </c>
      <c r="Q9" s="361"/>
    </row>
    <row r="10" spans="1:17" s="345" customFormat="1" ht="15" x14ac:dyDescent="0.25">
      <c r="A10" s="629" t="str">
        <f>'Estimación por período'!A11</f>
        <v>2.1. Implementación efectiva de la asistencia técnica en sistemas tecnificados de maíz.</v>
      </c>
      <c r="B10" s="350">
        <f>'Estimación por período'!B11</f>
        <v>1016255.147306</v>
      </c>
      <c r="C10" s="351">
        <v>0.95</v>
      </c>
      <c r="D10" s="351">
        <v>0.03</v>
      </c>
      <c r="E10" s="351">
        <v>0.02</v>
      </c>
      <c r="F10" s="350">
        <f>B10*C10</f>
        <v>965442.38994069991</v>
      </c>
      <c r="G10" s="350">
        <f>B10*D10</f>
        <v>30487.654419179999</v>
      </c>
      <c r="H10" s="350">
        <f>B10*E10</f>
        <v>20325.102946120001</v>
      </c>
      <c r="I10" s="352">
        <v>0.9</v>
      </c>
      <c r="J10" s="353"/>
      <c r="K10" s="352">
        <v>0.1</v>
      </c>
      <c r="L10" s="353"/>
      <c r="M10" s="350">
        <f t="shared" si="3"/>
        <v>868898.15094662993</v>
      </c>
      <c r="N10" s="350">
        <f t="shared" si="4"/>
        <v>0</v>
      </c>
      <c r="O10" s="350">
        <f t="shared" si="5"/>
        <v>96544.238994069994</v>
      </c>
      <c r="P10" s="350">
        <f t="shared" si="6"/>
        <v>0</v>
      </c>
      <c r="Q10" s="361"/>
    </row>
    <row r="11" spans="1:17" s="345" customFormat="1" ht="15" x14ac:dyDescent="0.25">
      <c r="A11" s="630" t="str">
        <f>'Estimación por período'!A12</f>
        <v xml:space="preserve">2.2. Impulso a la producción de maíz a mediana y gran escala.  </v>
      </c>
      <c r="B11" s="350">
        <f>'Estimación por período'!B12</f>
        <v>7515.7315179999996</v>
      </c>
      <c r="C11" s="351">
        <v>0.8</v>
      </c>
      <c r="D11" s="351">
        <v>0.2</v>
      </c>
      <c r="E11" s="351"/>
      <c r="F11" s="350">
        <f>B11*C11</f>
        <v>6012.5852144</v>
      </c>
      <c r="G11" s="350">
        <f>B11*D11</f>
        <v>1503.1463036</v>
      </c>
      <c r="H11" s="350">
        <f t="shared" ref="H11:H41" si="9">B11*E11</f>
        <v>0</v>
      </c>
      <c r="I11" s="352">
        <v>0.5</v>
      </c>
      <c r="J11" s="353"/>
      <c r="K11" s="352">
        <v>0.25</v>
      </c>
      <c r="L11" s="352">
        <v>0.25</v>
      </c>
      <c r="M11" s="350">
        <f t="shared" si="3"/>
        <v>3006.2926072</v>
      </c>
      <c r="N11" s="350">
        <f t="shared" si="4"/>
        <v>0</v>
      </c>
      <c r="O11" s="350">
        <f t="shared" si="5"/>
        <v>1503.1463036</v>
      </c>
      <c r="P11" s="350">
        <f t="shared" si="6"/>
        <v>1503.1463036</v>
      </c>
      <c r="Q11" s="361"/>
    </row>
    <row r="12" spans="1:17" s="346" customFormat="1" ht="15" x14ac:dyDescent="0.25">
      <c r="A12" s="629" t="str">
        <f>'Estimación por período'!A13</f>
        <v xml:space="preserve">3. Generación y consolidación de encadenamientos regionales para la cadena de maíz. </v>
      </c>
      <c r="B12" s="354">
        <f>'Estimación por período'!B13</f>
        <v>1400500.821164686</v>
      </c>
      <c r="C12" s="348">
        <f>F12/B12</f>
        <v>0.98155872305971414</v>
      </c>
      <c r="D12" s="348">
        <f>G12/B12</f>
        <v>1.7515316258291457E-2</v>
      </c>
      <c r="E12" s="348">
        <f>H12/B12</f>
        <v>9.2596068199485E-4</v>
      </c>
      <c r="F12" s="354">
        <f>F13+F14+F15+F16+F17</f>
        <v>1374673.7976664903</v>
      </c>
      <c r="G12" s="354">
        <f t="shared" ref="G12:H12" si="10">G13+G14+G15+G16+G17</f>
        <v>24530.214802696362</v>
      </c>
      <c r="H12" s="354">
        <f t="shared" si="10"/>
        <v>1296.8086955000001</v>
      </c>
      <c r="I12" s="348">
        <f>M12/F12</f>
        <v>0.93801755463798275</v>
      </c>
      <c r="J12" s="348">
        <f>N12/F12</f>
        <v>0</v>
      </c>
      <c r="K12" s="348">
        <f>O12/F12</f>
        <v>6.1180591574561273E-2</v>
      </c>
      <c r="L12" s="348">
        <f>P12/F12</f>
        <v>8.0185378745571028E-4</v>
      </c>
      <c r="M12" s="355">
        <f>M13+M14+M15+M16+M17</f>
        <v>1289468.1541120303</v>
      </c>
      <c r="N12" s="355">
        <f t="shared" ref="N12:P12" si="11">N13+N14+N15+N16+N17</f>
        <v>0</v>
      </c>
      <c r="O12" s="355">
        <f t="shared" si="11"/>
        <v>84103.356163284625</v>
      </c>
      <c r="P12" s="355">
        <f t="shared" si="11"/>
        <v>1102.287391175</v>
      </c>
      <c r="Q12" s="361"/>
    </row>
    <row r="13" spans="1:17" s="345" customFormat="1" ht="15" x14ac:dyDescent="0.25">
      <c r="A13" s="629" t="str">
        <f>'Estimación por período'!A14</f>
        <v>3.1. Promoción y fortalecimiento de organizaciones de economía solidaria en la cadena de maíz.</v>
      </c>
      <c r="B13" s="350">
        <f>'Estimación por período'!B14</f>
        <v>25936.173910000001</v>
      </c>
      <c r="C13" s="351">
        <v>0.85</v>
      </c>
      <c r="D13" s="351">
        <v>0.1</v>
      </c>
      <c r="E13" s="351">
        <v>0.05</v>
      </c>
      <c r="F13" s="350">
        <f>B13*C13</f>
        <v>22045.747823500002</v>
      </c>
      <c r="G13" s="350">
        <f>B13*D13</f>
        <v>2593.6173910000002</v>
      </c>
      <c r="H13" s="350">
        <f>B13*E13</f>
        <v>1296.8086955000001</v>
      </c>
      <c r="I13" s="352">
        <v>0.75</v>
      </c>
      <c r="J13" s="353"/>
      <c r="K13" s="352">
        <v>0.2</v>
      </c>
      <c r="L13" s="352">
        <v>0.05</v>
      </c>
      <c r="M13" s="350">
        <f t="shared" si="3"/>
        <v>16534.310867625001</v>
      </c>
      <c r="N13" s="350">
        <f t="shared" si="4"/>
        <v>0</v>
      </c>
      <c r="O13" s="350">
        <f t="shared" si="5"/>
        <v>4409.1495647000002</v>
      </c>
      <c r="P13" s="350">
        <f t="shared" si="6"/>
        <v>1102.287391175</v>
      </c>
      <c r="Q13" s="361"/>
    </row>
    <row r="14" spans="1:17" s="345" customFormat="1" ht="15" x14ac:dyDescent="0.25">
      <c r="A14" s="629" t="str">
        <f>'Estimación por período'!A15</f>
        <v>3.2. Promoción de la integración y las alianzas estratégicas regionales en la cadena de maíz.</v>
      </c>
      <c r="B14" s="350">
        <f>'Estimación por período'!B15</f>
        <v>37997.628165499998</v>
      </c>
      <c r="C14" s="351">
        <v>0.9</v>
      </c>
      <c r="D14" s="351">
        <v>0.1</v>
      </c>
      <c r="E14" s="351"/>
      <c r="F14" s="350">
        <f>B14*C14</f>
        <v>34197.865348949999</v>
      </c>
      <c r="G14" s="350">
        <f>B14*D14</f>
        <v>3799.76281655</v>
      </c>
      <c r="H14" s="350">
        <f t="shared" si="9"/>
        <v>0</v>
      </c>
      <c r="I14" s="352">
        <v>0.7</v>
      </c>
      <c r="J14" s="353"/>
      <c r="K14" s="352">
        <v>0.3</v>
      </c>
      <c r="L14" s="353"/>
      <c r="M14" s="350">
        <f t="shared" si="3"/>
        <v>23938.505744265</v>
      </c>
      <c r="N14" s="350">
        <f t="shared" si="4"/>
        <v>0</v>
      </c>
      <c r="O14" s="350">
        <f t="shared" si="5"/>
        <v>10259.359604685</v>
      </c>
      <c r="P14" s="350">
        <f t="shared" si="6"/>
        <v>0</v>
      </c>
      <c r="Q14" s="361"/>
    </row>
    <row r="15" spans="1:17" s="345" customFormat="1" ht="15" x14ac:dyDescent="0.25">
      <c r="A15" s="629" t="str">
        <f>'Estimación por período'!A16</f>
        <v>3.3. Aumento de la capacidad instalada regional para el secamiento, almacenamiento, y  procesamiento agroindustrial de maíz.</v>
      </c>
      <c r="B15" s="350">
        <f>'Estimación por período'!B16</f>
        <v>1295488.0026087963</v>
      </c>
      <c r="C15" s="351">
        <v>0.99</v>
      </c>
      <c r="D15" s="351">
        <v>0.01</v>
      </c>
      <c r="E15" s="351"/>
      <c r="F15" s="350">
        <f>B15*C15</f>
        <v>1282533.1225827085</v>
      </c>
      <c r="G15" s="350">
        <f>B15*D15</f>
        <v>12954.880026087963</v>
      </c>
      <c r="H15" s="350">
        <f t="shared" si="9"/>
        <v>0</v>
      </c>
      <c r="I15" s="352">
        <v>0.95</v>
      </c>
      <c r="J15" s="353"/>
      <c r="K15" s="352">
        <v>0.05</v>
      </c>
      <c r="L15" s="353"/>
      <c r="M15" s="350">
        <f t="shared" si="3"/>
        <v>1218406.466453573</v>
      </c>
      <c r="N15" s="350">
        <f t="shared" si="4"/>
        <v>0</v>
      </c>
      <c r="O15" s="350">
        <f t="shared" si="5"/>
        <v>64126.65612913543</v>
      </c>
      <c r="P15" s="350">
        <f t="shared" si="6"/>
        <v>0</v>
      </c>
      <c r="Q15" s="361"/>
    </row>
    <row r="16" spans="1:17" s="345" customFormat="1" ht="15" x14ac:dyDescent="0.25">
      <c r="A16" s="629" t="str">
        <f>'Estimación por período'!A17</f>
        <v xml:space="preserve">3.4. Fortalecimiento de la oferta de insumos y servicios asociados a la cadena. </v>
      </c>
      <c r="B16" s="350">
        <f>'Estimación por período'!B17</f>
        <v>30338.487270195987</v>
      </c>
      <c r="C16" s="351">
        <v>0.9</v>
      </c>
      <c r="D16" s="351">
        <v>0.1</v>
      </c>
      <c r="E16" s="351"/>
      <c r="F16" s="350">
        <f t="shared" ref="F16:F41" si="12">B16*C16</f>
        <v>27304.638543176388</v>
      </c>
      <c r="G16" s="350">
        <f t="shared" ref="G16:G41" si="13">B16*D16</f>
        <v>3033.8487270195988</v>
      </c>
      <c r="H16" s="350">
        <f t="shared" si="9"/>
        <v>0</v>
      </c>
      <c r="I16" s="352">
        <v>0.9</v>
      </c>
      <c r="J16" s="353"/>
      <c r="K16" s="352">
        <v>0.1</v>
      </c>
      <c r="L16" s="353"/>
      <c r="M16" s="350">
        <f t="shared" si="3"/>
        <v>24574.174688858751</v>
      </c>
      <c r="N16" s="350">
        <f t="shared" si="4"/>
        <v>0</v>
      </c>
      <c r="O16" s="350">
        <f t="shared" si="5"/>
        <v>2730.4638543176388</v>
      </c>
      <c r="P16" s="350">
        <f t="shared" si="6"/>
        <v>0</v>
      </c>
      <c r="Q16" s="361"/>
    </row>
    <row r="17" spans="1:17" s="345" customFormat="1" ht="15" x14ac:dyDescent="0.25">
      <c r="A17" s="630" t="str">
        <f>'Estimación por período'!A18</f>
        <v>3.5. Mejora del entorno productivo para las grandes inversiones en las regiones maiceras.</v>
      </c>
      <c r="B17" s="350">
        <f>'Estimación por período'!B18</f>
        <v>10740.529210193999</v>
      </c>
      <c r="C17" s="351">
        <v>0.8</v>
      </c>
      <c r="D17" s="351">
        <v>0.2</v>
      </c>
      <c r="E17" s="351"/>
      <c r="F17" s="350">
        <f t="shared" si="12"/>
        <v>8592.4233681551996</v>
      </c>
      <c r="G17" s="350">
        <f t="shared" si="13"/>
        <v>2148.1058420387999</v>
      </c>
      <c r="H17" s="350">
        <f t="shared" si="9"/>
        <v>0</v>
      </c>
      <c r="I17" s="352">
        <v>0.7</v>
      </c>
      <c r="J17" s="353"/>
      <c r="K17" s="352">
        <v>0.3</v>
      </c>
      <c r="L17" s="353"/>
      <c r="M17" s="350">
        <f t="shared" si="3"/>
        <v>6014.696357708639</v>
      </c>
      <c r="N17" s="350">
        <f t="shared" si="4"/>
        <v>0</v>
      </c>
      <c r="O17" s="350">
        <f t="shared" si="5"/>
        <v>2577.7270104465597</v>
      </c>
      <c r="P17" s="350">
        <f t="shared" si="6"/>
        <v>0</v>
      </c>
      <c r="Q17" s="361"/>
    </row>
    <row r="18" spans="1:17" s="346" customFormat="1" ht="15" x14ac:dyDescent="0.25">
      <c r="A18" s="629" t="str">
        <f>'Estimación por período'!A19</f>
        <v xml:space="preserve">4. Mejora de la gestión del agua y del suelo en el cultivo de maíz. </v>
      </c>
      <c r="B18" s="354">
        <f>'Estimación por período'!B19</f>
        <v>104419.1618095</v>
      </c>
      <c r="C18" s="348">
        <f>F18/B18</f>
        <v>0.70000000000000007</v>
      </c>
      <c r="D18" s="348">
        <f>G18/B18</f>
        <v>0.20000000000000007</v>
      </c>
      <c r="E18" s="348">
        <f>H18/B18</f>
        <v>0.10000000000000003</v>
      </c>
      <c r="F18" s="354">
        <f>F19+F20</f>
        <v>73093.413266650008</v>
      </c>
      <c r="G18" s="354">
        <f t="shared" ref="G18:H18" si="14">G19+G20</f>
        <v>20883.832361900008</v>
      </c>
      <c r="H18" s="354">
        <f t="shared" si="14"/>
        <v>10441.916180950004</v>
      </c>
      <c r="I18" s="356">
        <f>M18/F18</f>
        <v>0.29999999999999993</v>
      </c>
      <c r="J18" s="356">
        <f>N18/F18</f>
        <v>0.35</v>
      </c>
      <c r="K18" s="356">
        <f>O18/F18</f>
        <v>0.35</v>
      </c>
      <c r="L18" s="356">
        <f>P18/F18</f>
        <v>0</v>
      </c>
      <c r="M18" s="355">
        <f>M19+M20</f>
        <v>21928.023979995</v>
      </c>
      <c r="N18" s="355">
        <f t="shared" ref="N18:P18" si="15">N19+N20</f>
        <v>25582.694643327501</v>
      </c>
      <c r="O18" s="355">
        <f t="shared" si="15"/>
        <v>25582.694643327501</v>
      </c>
      <c r="P18" s="355">
        <f t="shared" si="15"/>
        <v>0</v>
      </c>
      <c r="Q18" s="361"/>
    </row>
    <row r="19" spans="1:17" s="345" customFormat="1" ht="15" x14ac:dyDescent="0.25">
      <c r="A19" s="629" t="str">
        <f>'Estimación por período'!A20</f>
        <v>4.1. Contribución a la gestión del ordenamiento ambiental, fuera de la frontera agrícola.</v>
      </c>
      <c r="B19" s="350">
        <f>'Estimación por período'!B20</f>
        <v>3089.5396350000001</v>
      </c>
      <c r="C19" s="351">
        <v>0.7</v>
      </c>
      <c r="D19" s="351">
        <v>0.2</v>
      </c>
      <c r="E19" s="351">
        <v>0.1</v>
      </c>
      <c r="F19" s="350">
        <f t="shared" si="12"/>
        <v>2162.6777444999998</v>
      </c>
      <c r="G19" s="350">
        <f t="shared" si="13"/>
        <v>617.90792700000009</v>
      </c>
      <c r="H19" s="350">
        <f t="shared" si="9"/>
        <v>308.95396350000004</v>
      </c>
      <c r="I19" s="352">
        <v>0.3</v>
      </c>
      <c r="J19" s="352">
        <v>0.35</v>
      </c>
      <c r="K19" s="352">
        <v>0.35</v>
      </c>
      <c r="L19" s="353"/>
      <c r="M19" s="350">
        <f t="shared" si="3"/>
        <v>648.80332334999991</v>
      </c>
      <c r="N19" s="350">
        <f t="shared" si="4"/>
        <v>756.93721057499988</v>
      </c>
      <c r="O19" s="350">
        <f t="shared" si="5"/>
        <v>756.93721057499988</v>
      </c>
      <c r="P19" s="350">
        <f t="shared" si="6"/>
        <v>0</v>
      </c>
      <c r="Q19" s="361"/>
    </row>
    <row r="20" spans="1:17" s="345" customFormat="1" ht="15" x14ac:dyDescent="0.25">
      <c r="A20" s="630" t="str">
        <f>'Estimación por período'!A21</f>
        <v>4.2. Promoción del manejo eficiente del suelo y del agua, en la producción de maíz.</v>
      </c>
      <c r="B20" s="350">
        <f>'Estimación por período'!B21</f>
        <v>101329.62217450002</v>
      </c>
      <c r="C20" s="351">
        <v>0.7</v>
      </c>
      <c r="D20" s="351">
        <v>0.2</v>
      </c>
      <c r="E20" s="351">
        <v>0.1</v>
      </c>
      <c r="F20" s="350">
        <f t="shared" si="12"/>
        <v>70930.735522150004</v>
      </c>
      <c r="G20" s="350">
        <f t="shared" si="13"/>
        <v>20265.924434900007</v>
      </c>
      <c r="H20" s="350">
        <f t="shared" si="9"/>
        <v>10132.962217450004</v>
      </c>
      <c r="I20" s="352">
        <v>0.3</v>
      </c>
      <c r="J20" s="352">
        <v>0.35</v>
      </c>
      <c r="K20" s="352">
        <v>0.35</v>
      </c>
      <c r="L20" s="353"/>
      <c r="M20" s="350">
        <f t="shared" si="3"/>
        <v>21279.220656645</v>
      </c>
      <c r="N20" s="350">
        <f t="shared" si="4"/>
        <v>24825.7574327525</v>
      </c>
      <c r="O20" s="350">
        <f t="shared" si="5"/>
        <v>24825.7574327525</v>
      </c>
      <c r="P20" s="350">
        <f t="shared" si="6"/>
        <v>0</v>
      </c>
      <c r="Q20" s="361"/>
    </row>
    <row r="21" spans="1:17" s="346" customFormat="1" ht="37.5" customHeight="1" x14ac:dyDescent="0.25">
      <c r="A21" s="629" t="str">
        <f>'Estimación por período'!A22</f>
        <v xml:space="preserve">5. Fortalecimiento de la gestión ambiental en la cadena maicera.
</v>
      </c>
      <c r="B21" s="354">
        <f>'Estimación por período'!B22</f>
        <v>21593.230348064</v>
      </c>
      <c r="C21" s="348">
        <f>F21/B21</f>
        <v>0.7</v>
      </c>
      <c r="D21" s="348">
        <f>G21/B21</f>
        <v>0.20000000000000004</v>
      </c>
      <c r="E21" s="348">
        <f>H21/B21</f>
        <v>0.10000000000000002</v>
      </c>
      <c r="F21" s="354">
        <f>F22</f>
        <v>15115.2612436448</v>
      </c>
      <c r="G21" s="354">
        <f>G22</f>
        <v>4318.6460696128006</v>
      </c>
      <c r="H21" s="354">
        <f>H22</f>
        <v>2159.3230348064003</v>
      </c>
      <c r="I21" s="356">
        <f>M21/F21</f>
        <v>0.5</v>
      </c>
      <c r="J21" s="356">
        <f>N21/F21</f>
        <v>0.25</v>
      </c>
      <c r="K21" s="356">
        <f>O21/F21</f>
        <v>0.25</v>
      </c>
      <c r="L21" s="356">
        <f>P21/F21</f>
        <v>0</v>
      </c>
      <c r="M21" s="355">
        <f>M22</f>
        <v>7557.6306218223999</v>
      </c>
      <c r="N21" s="355">
        <f t="shared" ref="N21:P21" si="16">N22</f>
        <v>3778.8153109112</v>
      </c>
      <c r="O21" s="355">
        <f t="shared" si="16"/>
        <v>3778.8153109112</v>
      </c>
      <c r="P21" s="355">
        <f t="shared" si="16"/>
        <v>0</v>
      </c>
      <c r="Q21" s="361"/>
    </row>
    <row r="22" spans="1:17" s="345" customFormat="1" ht="22.5" customHeight="1" x14ac:dyDescent="0.25">
      <c r="A22" s="630" t="str">
        <f>'Estimación por período'!A23</f>
        <v>5.1. Mejora del desempeño ambiental de la cadena de maíz.</v>
      </c>
      <c r="B22" s="350">
        <f>'Estimación por período'!B23</f>
        <v>21593.230348064</v>
      </c>
      <c r="C22" s="351">
        <v>0.7</v>
      </c>
      <c r="D22" s="351">
        <v>0.2</v>
      </c>
      <c r="E22" s="351">
        <v>0.1</v>
      </c>
      <c r="F22" s="350">
        <f t="shared" si="12"/>
        <v>15115.2612436448</v>
      </c>
      <c r="G22" s="350">
        <f t="shared" si="13"/>
        <v>4318.6460696128006</v>
      </c>
      <c r="H22" s="350">
        <f t="shared" si="9"/>
        <v>2159.3230348064003</v>
      </c>
      <c r="I22" s="352">
        <v>0.5</v>
      </c>
      <c r="J22" s="352">
        <v>0.25</v>
      </c>
      <c r="K22" s="352">
        <v>0.25</v>
      </c>
      <c r="L22" s="353">
        <v>0</v>
      </c>
      <c r="M22" s="350">
        <f t="shared" si="3"/>
        <v>7557.6306218223999</v>
      </c>
      <c r="N22" s="350">
        <f t="shared" si="4"/>
        <v>3778.8153109112</v>
      </c>
      <c r="O22" s="350">
        <f t="shared" si="5"/>
        <v>3778.8153109112</v>
      </c>
      <c r="P22" s="350">
        <f t="shared" si="6"/>
        <v>0</v>
      </c>
      <c r="Q22" s="361"/>
    </row>
    <row r="23" spans="1:17" s="346" customFormat="1" ht="15" x14ac:dyDescent="0.25">
      <c r="A23" s="629" t="str">
        <f>'Estimación por período'!A24</f>
        <v xml:space="preserve">6. Contribución al mejoramiento en las condiciones de vida de la población vinculada a la cadena de maíz. </v>
      </c>
      <c r="B23" s="354">
        <f>'Estimación por período'!B24</f>
        <v>208820.46365339481</v>
      </c>
      <c r="C23" s="348">
        <f>F23/B23</f>
        <v>0.84910393317732691</v>
      </c>
      <c r="D23" s="348">
        <f>G23/B23</f>
        <v>0.10179213364534601</v>
      </c>
      <c r="E23" s="348">
        <f>H23/B23</f>
        <v>4.9103933177326996E-2</v>
      </c>
      <c r="F23" s="354">
        <f>F24+F25+F26+F27+F28</f>
        <v>177310.27701601057</v>
      </c>
      <c r="G23" s="354">
        <f t="shared" ref="G23:H23" si="17">G24+G25+G26+G27+G28</f>
        <v>21256.280544089481</v>
      </c>
      <c r="H23" s="354">
        <f t="shared" si="17"/>
        <v>10253.90609329474</v>
      </c>
      <c r="I23" s="356">
        <f>M23/F23</f>
        <v>0.49662301195352632</v>
      </c>
      <c r="J23" s="356">
        <f>N23/F23</f>
        <v>3.4348786087960693E-2</v>
      </c>
      <c r="K23" s="356">
        <f>O23/F23</f>
        <v>0.3922978096244602</v>
      </c>
      <c r="L23" s="356">
        <f>P23/F23</f>
        <v>7.6730392334052697E-2</v>
      </c>
      <c r="M23" s="355">
        <f>M24+M25+M26+M27+M28</f>
        <v>88056.363822005282</v>
      </c>
      <c r="N23" s="355">
        <f t="shared" ref="N23:P23" si="18">N24+N25+N26+N27+N28</f>
        <v>6090.3927764200007</v>
      </c>
      <c r="O23" s="355">
        <f t="shared" si="18"/>
        <v>69558.433297287222</v>
      </c>
      <c r="P23" s="355">
        <f t="shared" si="18"/>
        <v>13605.087120298058</v>
      </c>
      <c r="Q23" s="361"/>
    </row>
    <row r="24" spans="1:17" s="345" customFormat="1" ht="15" x14ac:dyDescent="0.25">
      <c r="A24" s="629" t="str">
        <f>'Estimación por período'!A25</f>
        <v>6.1  Promoción de la atención de las necesidades básicas de los actores vinculados a la cadena.</v>
      </c>
      <c r="B24" s="350">
        <f>'Estimación por período'!B25</f>
        <v>64607.271652000003</v>
      </c>
      <c r="C24" s="351">
        <v>0.85</v>
      </c>
      <c r="D24" s="351">
        <v>0.1</v>
      </c>
      <c r="E24" s="351">
        <v>0.05</v>
      </c>
      <c r="F24" s="350">
        <f t="shared" si="12"/>
        <v>54916.180904200002</v>
      </c>
      <c r="G24" s="350">
        <f t="shared" si="13"/>
        <v>6460.7271652000009</v>
      </c>
      <c r="H24" s="350">
        <f t="shared" si="9"/>
        <v>3230.3635826000004</v>
      </c>
      <c r="I24" s="352">
        <v>0.5</v>
      </c>
      <c r="J24" s="352">
        <v>0.1</v>
      </c>
      <c r="K24" s="352">
        <v>0.3</v>
      </c>
      <c r="L24" s="352">
        <v>0.1</v>
      </c>
      <c r="M24" s="350">
        <f t="shared" si="3"/>
        <v>27458.090452100001</v>
      </c>
      <c r="N24" s="350">
        <f t="shared" si="4"/>
        <v>5491.618090420001</v>
      </c>
      <c r="O24" s="350">
        <f t="shared" si="5"/>
        <v>16474.854271259999</v>
      </c>
      <c r="P24" s="350">
        <f t="shared" si="6"/>
        <v>5491.618090420001</v>
      </c>
      <c r="Q24" s="361"/>
    </row>
    <row r="25" spans="1:17" s="345" customFormat="1" ht="15" x14ac:dyDescent="0.25">
      <c r="A25" s="629" t="str">
        <f>'Estimación por período'!A26</f>
        <v>6.2. Contribución al incremento del nivel educativo de los actores vinculados a la cadena.</v>
      </c>
      <c r="B25" s="350">
        <f>'Estimación por período'!B26</f>
        <v>13629.695771999999</v>
      </c>
      <c r="C25" s="351">
        <v>0.85</v>
      </c>
      <c r="D25" s="351">
        <v>0.1</v>
      </c>
      <c r="E25" s="351">
        <v>0.05</v>
      </c>
      <c r="F25" s="350">
        <f t="shared" si="12"/>
        <v>11585.241406199999</v>
      </c>
      <c r="G25" s="350">
        <f t="shared" si="13"/>
        <v>1362.9695772</v>
      </c>
      <c r="H25" s="350">
        <f t="shared" si="9"/>
        <v>681.4847886</v>
      </c>
      <c r="I25" s="352">
        <v>0.5</v>
      </c>
      <c r="J25" s="352"/>
      <c r="K25" s="352">
        <v>0.4</v>
      </c>
      <c r="L25" s="352">
        <v>0.1</v>
      </c>
      <c r="M25" s="350">
        <f t="shared" si="3"/>
        <v>5792.6207030999994</v>
      </c>
      <c r="N25" s="350">
        <f t="shared" si="4"/>
        <v>0</v>
      </c>
      <c r="O25" s="350">
        <f t="shared" si="5"/>
        <v>4634.0965624800001</v>
      </c>
      <c r="P25" s="350">
        <f t="shared" si="6"/>
        <v>1158.52414062</v>
      </c>
      <c r="Q25" s="361"/>
    </row>
    <row r="26" spans="1:17" s="345" customFormat="1" ht="15" x14ac:dyDescent="0.25">
      <c r="A26" s="629" t="str">
        <f>'Estimación por período'!A27</f>
        <v>6.3. Mejora en las capacidades técnicas de los agentes económicos de la cadena</v>
      </c>
      <c r="B26" s="350">
        <f>'Estimación por período'!B27</f>
        <v>81822.881050094787</v>
      </c>
      <c r="C26" s="351">
        <v>0.85</v>
      </c>
      <c r="D26" s="351">
        <v>0.1</v>
      </c>
      <c r="E26" s="351">
        <v>0.05</v>
      </c>
      <c r="F26" s="350">
        <f t="shared" si="12"/>
        <v>69549.448892580564</v>
      </c>
      <c r="G26" s="350">
        <f t="shared" si="13"/>
        <v>8182.2881050094793</v>
      </c>
      <c r="H26" s="350">
        <f t="shared" si="9"/>
        <v>4091.1440525047396</v>
      </c>
      <c r="I26" s="352">
        <v>0.5</v>
      </c>
      <c r="J26" s="353"/>
      <c r="K26" s="352">
        <v>0.4</v>
      </c>
      <c r="L26" s="352">
        <v>0.1</v>
      </c>
      <c r="M26" s="350">
        <f t="shared" si="3"/>
        <v>34774.724446290282</v>
      </c>
      <c r="N26" s="350">
        <f t="shared" si="4"/>
        <v>0</v>
      </c>
      <c r="O26" s="350">
        <f t="shared" si="5"/>
        <v>27819.779557032227</v>
      </c>
      <c r="P26" s="350">
        <f t="shared" si="6"/>
        <v>6954.9448892580567</v>
      </c>
      <c r="Q26" s="361"/>
    </row>
    <row r="27" spans="1:17" s="345" customFormat="1" ht="15" x14ac:dyDescent="0.25">
      <c r="A27" s="629" t="str">
        <f>'Estimación por período'!A28</f>
        <v>6.4. Promoción de la generación del empleo formal y la mejora de las condiciones laborales a lo largo de la cadena.</v>
      </c>
      <c r="B27" s="350">
        <f>'Estimación por período'!B28</f>
        <v>45018.273391800009</v>
      </c>
      <c r="C27" s="351">
        <v>0.85</v>
      </c>
      <c r="D27" s="351">
        <v>0.1</v>
      </c>
      <c r="E27" s="351">
        <v>0.05</v>
      </c>
      <c r="F27" s="350">
        <f t="shared" si="12"/>
        <v>38265.532383030004</v>
      </c>
      <c r="G27" s="350">
        <f t="shared" si="13"/>
        <v>4501.8273391800012</v>
      </c>
      <c r="H27" s="350">
        <f t="shared" si="9"/>
        <v>2250.9136695900006</v>
      </c>
      <c r="I27" s="352">
        <v>0.5</v>
      </c>
      <c r="J27" s="353"/>
      <c r="K27" s="352">
        <v>0.5</v>
      </c>
      <c r="L27" s="353"/>
      <c r="M27" s="350">
        <f t="shared" si="3"/>
        <v>19132.766191515002</v>
      </c>
      <c r="N27" s="350">
        <f t="shared" si="4"/>
        <v>0</v>
      </c>
      <c r="O27" s="350">
        <f t="shared" si="5"/>
        <v>19132.766191515002</v>
      </c>
      <c r="P27" s="350">
        <f t="shared" si="6"/>
        <v>0</v>
      </c>
      <c r="Q27" s="361"/>
    </row>
    <row r="28" spans="1:17" s="345" customFormat="1" ht="15" x14ac:dyDescent="0.25">
      <c r="A28" s="630" t="str">
        <f>'Estimación por período'!A29</f>
        <v>6.5. Contribución a la mejora de condiciones de conectividad vial y de servicios públicos, en las regiones maiceras.</v>
      </c>
      <c r="B28" s="350">
        <f>'Estimación por período'!B29</f>
        <v>3742.3417875</v>
      </c>
      <c r="C28" s="351">
        <v>0.8</v>
      </c>
      <c r="D28" s="351">
        <v>0.2</v>
      </c>
      <c r="E28" s="351"/>
      <c r="F28" s="350">
        <f t="shared" si="12"/>
        <v>2993.8734300000001</v>
      </c>
      <c r="G28" s="350">
        <f t="shared" si="13"/>
        <v>748.46835750000002</v>
      </c>
      <c r="H28" s="350">
        <f t="shared" si="9"/>
        <v>0</v>
      </c>
      <c r="I28" s="352">
        <v>0.3</v>
      </c>
      <c r="J28" s="352">
        <v>0.2</v>
      </c>
      <c r="K28" s="352">
        <v>0.5</v>
      </c>
      <c r="L28" s="353"/>
      <c r="M28" s="350">
        <f t="shared" si="3"/>
        <v>898.16202899999996</v>
      </c>
      <c r="N28" s="350">
        <f t="shared" si="4"/>
        <v>598.77468600000009</v>
      </c>
      <c r="O28" s="350">
        <f t="shared" si="5"/>
        <v>1496.936715</v>
      </c>
      <c r="P28" s="350">
        <f t="shared" si="6"/>
        <v>0</v>
      </c>
      <c r="Q28" s="361"/>
    </row>
    <row r="29" spans="1:17" s="346" customFormat="1" ht="15" x14ac:dyDescent="0.25">
      <c r="A29" s="629" t="str">
        <f>'Estimación por período'!A30</f>
        <v>7. Contribución al ordenamiento productivo y social de la propiedad.</v>
      </c>
      <c r="B29" s="354">
        <f>'Estimación por período'!B30</f>
        <v>52239.074348499998</v>
      </c>
      <c r="C29" s="348">
        <f>F29/B29</f>
        <v>0.8</v>
      </c>
      <c r="D29" s="348">
        <f>G29/B29</f>
        <v>0.2</v>
      </c>
      <c r="E29" s="348"/>
      <c r="F29" s="354">
        <f>F30+F31</f>
        <v>41791.259478799999</v>
      </c>
      <c r="G29" s="354">
        <f t="shared" ref="G29:H29" si="19">G30+G31</f>
        <v>10447.8148697</v>
      </c>
      <c r="H29" s="354">
        <f t="shared" si="19"/>
        <v>0</v>
      </c>
      <c r="I29" s="354">
        <f>M29/C29</f>
        <v>31343.444609099995</v>
      </c>
      <c r="J29" s="357"/>
      <c r="K29" s="357">
        <f>O29/F29</f>
        <v>0.4</v>
      </c>
      <c r="L29" s="357"/>
      <c r="M29" s="355">
        <f>M30+M31</f>
        <v>25074.755687279998</v>
      </c>
      <c r="N29" s="355">
        <f t="shared" ref="N29:P29" si="20">N30+N31</f>
        <v>0</v>
      </c>
      <c r="O29" s="355">
        <f t="shared" si="20"/>
        <v>16716.503791520001</v>
      </c>
      <c r="P29" s="355">
        <f t="shared" si="20"/>
        <v>0</v>
      </c>
      <c r="Q29" s="361"/>
    </row>
    <row r="30" spans="1:17" s="345" customFormat="1" ht="15" x14ac:dyDescent="0.25">
      <c r="A30" s="629" t="str">
        <f>'Estimación por período'!A31</f>
        <v>7.1. Articulación con las políticas de ordenamiento productivo y social de la propiedad rural para el cultivo de maíz.</v>
      </c>
      <c r="B30" s="350">
        <f>'Estimación por período'!B31</f>
        <v>14243.132557499999</v>
      </c>
      <c r="C30" s="351">
        <v>0.8</v>
      </c>
      <c r="D30" s="351">
        <v>0.2</v>
      </c>
      <c r="E30" s="351"/>
      <c r="F30" s="350">
        <f t="shared" si="12"/>
        <v>11394.506046</v>
      </c>
      <c r="G30" s="350">
        <f t="shared" si="13"/>
        <v>2848.6265115000001</v>
      </c>
      <c r="H30" s="350">
        <f t="shared" si="9"/>
        <v>0</v>
      </c>
      <c r="I30" s="352">
        <v>0.6</v>
      </c>
      <c r="J30" s="353"/>
      <c r="K30" s="352">
        <v>0.4</v>
      </c>
      <c r="L30" s="353"/>
      <c r="M30" s="350">
        <f t="shared" si="3"/>
        <v>6836.7036275999999</v>
      </c>
      <c r="N30" s="350">
        <f t="shared" si="4"/>
        <v>0</v>
      </c>
      <c r="O30" s="350">
        <f t="shared" si="5"/>
        <v>4557.8024184000005</v>
      </c>
      <c r="P30" s="350">
        <f t="shared" si="6"/>
        <v>0</v>
      </c>
      <c r="Q30" s="361"/>
    </row>
    <row r="31" spans="1:17" s="345" customFormat="1" ht="15" x14ac:dyDescent="0.25">
      <c r="A31" s="630" t="str">
        <f>'Estimación por período'!A32</f>
        <v xml:space="preserve">7.2  Fortalecimiento en el acceso y la seguridad jurídica de los predios e inversiones para el cultivo de maíz. </v>
      </c>
      <c r="B31" s="350">
        <f>'Estimación por período'!B32</f>
        <v>37995.941790999997</v>
      </c>
      <c r="C31" s="351">
        <v>0.8</v>
      </c>
      <c r="D31" s="351">
        <v>0.2</v>
      </c>
      <c r="E31" s="351"/>
      <c r="F31" s="350">
        <f t="shared" si="12"/>
        <v>30396.7534328</v>
      </c>
      <c r="G31" s="350">
        <f t="shared" si="13"/>
        <v>7599.1883582</v>
      </c>
      <c r="H31" s="350">
        <f t="shared" si="9"/>
        <v>0</v>
      </c>
      <c r="I31" s="352">
        <v>0.6</v>
      </c>
      <c r="J31" s="353"/>
      <c r="K31" s="352">
        <v>0.4</v>
      </c>
      <c r="L31" s="353"/>
      <c r="M31" s="350">
        <f t="shared" si="3"/>
        <v>18238.052059679998</v>
      </c>
      <c r="N31" s="350">
        <f t="shared" si="4"/>
        <v>0</v>
      </c>
      <c r="O31" s="350">
        <f t="shared" si="5"/>
        <v>12158.70137312</v>
      </c>
      <c r="P31" s="350">
        <f t="shared" si="6"/>
        <v>0</v>
      </c>
      <c r="Q31" s="361"/>
    </row>
    <row r="32" spans="1:17" s="346" customFormat="1" ht="15" x14ac:dyDescent="0.25">
      <c r="A32" s="629" t="str">
        <f>'Estimación por período'!A33</f>
        <v>8. Fortalecimiento del desarrollo tecnológico y la innovación en la cadena de maíz.</v>
      </c>
      <c r="B32" s="354">
        <f>'Estimación por período'!B33</f>
        <v>27234.2557845095</v>
      </c>
      <c r="C32" s="348">
        <f>F32/B32</f>
        <v>0.64999999999999991</v>
      </c>
      <c r="D32" s="348">
        <f>G32/B32</f>
        <v>0.29999999999999993</v>
      </c>
      <c r="E32" s="348">
        <f>H32/B32</f>
        <v>0.05</v>
      </c>
      <c r="F32" s="354">
        <f>F33+F34</f>
        <v>17702.266259931173</v>
      </c>
      <c r="G32" s="354">
        <f t="shared" ref="G32:H32" si="21">G33+G34</f>
        <v>8170.2767353528488</v>
      </c>
      <c r="H32" s="354">
        <f t="shared" si="21"/>
        <v>1361.712789225475</v>
      </c>
      <c r="I32" s="356">
        <f>M32/F32</f>
        <v>0.39999999999999997</v>
      </c>
      <c r="J32" s="356">
        <f>N32/F32</f>
        <v>0.3</v>
      </c>
      <c r="K32" s="356">
        <f>O32/F32</f>
        <v>0.3</v>
      </c>
      <c r="L32" s="356"/>
      <c r="M32" s="355">
        <f>M33+M34</f>
        <v>7080.9065039724692</v>
      </c>
      <c r="N32" s="355">
        <f t="shared" ref="N32:P32" si="22">N33+N34</f>
        <v>5310.6798779793517</v>
      </c>
      <c r="O32" s="355">
        <f t="shared" si="22"/>
        <v>5310.6798779793517</v>
      </c>
      <c r="P32" s="355">
        <f t="shared" si="22"/>
        <v>0</v>
      </c>
      <c r="Q32" s="361"/>
    </row>
    <row r="33" spans="1:17" s="345" customFormat="1" ht="15" x14ac:dyDescent="0.25">
      <c r="A33" s="629" t="str">
        <f>'Estimación por período'!A34</f>
        <v>8.1. Fortalecimiento de los procesos I+D+i para la cadena de maíz y sus derivados.</v>
      </c>
      <c r="B33" s="350">
        <f>'Estimación por período'!B34</f>
        <v>7040.3814005094991</v>
      </c>
      <c r="C33" s="351">
        <v>0.65</v>
      </c>
      <c r="D33" s="351">
        <v>0.3</v>
      </c>
      <c r="E33" s="351">
        <v>0.05</v>
      </c>
      <c r="F33" s="350">
        <f t="shared" si="12"/>
        <v>4576.2479103311744</v>
      </c>
      <c r="G33" s="350">
        <f t="shared" si="13"/>
        <v>2112.1144201528496</v>
      </c>
      <c r="H33" s="350">
        <f t="shared" si="9"/>
        <v>352.019070025475</v>
      </c>
      <c r="I33" s="352">
        <v>0.4</v>
      </c>
      <c r="J33" s="352">
        <v>0.3</v>
      </c>
      <c r="K33" s="352">
        <v>0.3</v>
      </c>
      <c r="L33" s="353"/>
      <c r="M33" s="350">
        <f t="shared" si="3"/>
        <v>1830.4991641324698</v>
      </c>
      <c r="N33" s="350">
        <f t="shared" si="4"/>
        <v>1372.8743730993522</v>
      </c>
      <c r="O33" s="350">
        <f t="shared" si="5"/>
        <v>1372.8743730993522</v>
      </c>
      <c r="P33" s="350">
        <f t="shared" si="6"/>
        <v>0</v>
      </c>
      <c r="Q33" s="361"/>
    </row>
    <row r="34" spans="1:17" s="345" customFormat="1" ht="15" x14ac:dyDescent="0.25">
      <c r="A34" s="630" t="str">
        <f>'Estimación por período'!A35</f>
        <v>8.2. Fortalecimiento del talento humano en I+D+i, y en extensionismo agrícola e industrial.</v>
      </c>
      <c r="B34" s="350">
        <f>'Estimación por período'!B35</f>
        <v>20193.874383999999</v>
      </c>
      <c r="C34" s="351">
        <v>0.65</v>
      </c>
      <c r="D34" s="351">
        <v>0.3</v>
      </c>
      <c r="E34" s="351">
        <v>0.05</v>
      </c>
      <c r="F34" s="350">
        <f t="shared" si="12"/>
        <v>13126.018349599999</v>
      </c>
      <c r="G34" s="350">
        <f t="shared" si="13"/>
        <v>6058.1623151999993</v>
      </c>
      <c r="H34" s="350">
        <f t="shared" si="9"/>
        <v>1009.6937192</v>
      </c>
      <c r="I34" s="352">
        <v>0.4</v>
      </c>
      <c r="J34" s="352">
        <v>0.3</v>
      </c>
      <c r="K34" s="352">
        <v>0.3</v>
      </c>
      <c r="L34" s="353"/>
      <c r="M34" s="350">
        <f t="shared" si="3"/>
        <v>5250.4073398399996</v>
      </c>
      <c r="N34" s="350">
        <f t="shared" si="4"/>
        <v>3937.8055048799997</v>
      </c>
      <c r="O34" s="350">
        <f t="shared" si="5"/>
        <v>3937.8055048799997</v>
      </c>
      <c r="P34" s="350">
        <f t="shared" si="6"/>
        <v>0</v>
      </c>
      <c r="Q34" s="361"/>
    </row>
    <row r="35" spans="1:17" s="346" customFormat="1" ht="15" x14ac:dyDescent="0.25">
      <c r="A35" s="629" t="str">
        <f>'Estimación por período'!A36</f>
        <v>9. Fortalecimiento de la gestión institucional de la cadena de maíz</v>
      </c>
      <c r="B35" s="354">
        <f>'Estimación por período'!B36</f>
        <v>11686.193987750001</v>
      </c>
      <c r="C35" s="348">
        <f>F35/B35</f>
        <v>0.84246677393064984</v>
      </c>
      <c r="D35" s="348">
        <f>G35/B35</f>
        <v>0.11209464756431047</v>
      </c>
      <c r="E35" s="348">
        <f>H35/B35</f>
        <v>4.5438578505039587E-2</v>
      </c>
      <c r="F35" s="354">
        <f>F36+F37+F38+F39+F40+F41</f>
        <v>9845.2301483874999</v>
      </c>
      <c r="G35" s="354">
        <f t="shared" ref="G35:H35" si="23">G36+G37+G38+G39+G40+G41</f>
        <v>1309.9597964250001</v>
      </c>
      <c r="H35" s="354">
        <f t="shared" si="23"/>
        <v>531.0040429375</v>
      </c>
      <c r="I35" s="356">
        <f>M35/F35</f>
        <v>0.79538738108804519</v>
      </c>
      <c r="J35" s="356">
        <f>N35/F35</f>
        <v>0</v>
      </c>
      <c r="K35" s="356">
        <f>O35/F35</f>
        <v>0.10461261891195482</v>
      </c>
      <c r="L35" s="356">
        <f>P35/F35</f>
        <v>0.10000000000000002</v>
      </c>
      <c r="M35" s="355">
        <f>M36+M37+M38+M39+M40+M41</f>
        <v>7830.7718239349997</v>
      </c>
      <c r="N35" s="355">
        <f t="shared" ref="N35:P35" si="24">N36+N37+N38+N39+N40+N41</f>
        <v>0</v>
      </c>
      <c r="O35" s="355">
        <f t="shared" si="24"/>
        <v>1029.93530961375</v>
      </c>
      <c r="P35" s="355">
        <f t="shared" si="24"/>
        <v>984.52301483875021</v>
      </c>
      <c r="Q35" s="361"/>
    </row>
    <row r="36" spans="1:17" s="345" customFormat="1" ht="15" x14ac:dyDescent="0.25">
      <c r="A36" s="629" t="str">
        <f>'Estimación por período'!A37</f>
        <v>9.1. Fortalecimiento del Sistema de Inspección, Vigilancia y Control para la cadena de maíz.</v>
      </c>
      <c r="B36" s="350">
        <f>'Estimación por período'!B37</f>
        <v>2057.7055274999998</v>
      </c>
      <c r="C36" s="351">
        <v>0.95</v>
      </c>
      <c r="D36" s="351"/>
      <c r="E36" s="351">
        <v>0.05</v>
      </c>
      <c r="F36" s="350">
        <f>B36*C36</f>
        <v>1954.8202511249997</v>
      </c>
      <c r="G36" s="350">
        <f t="shared" si="13"/>
        <v>0</v>
      </c>
      <c r="H36" s="350">
        <f t="shared" si="9"/>
        <v>102.88527637499999</v>
      </c>
      <c r="I36" s="352">
        <v>0.9</v>
      </c>
      <c r="J36" s="353"/>
      <c r="K36" s="353"/>
      <c r="L36" s="352">
        <v>0.1</v>
      </c>
      <c r="M36" s="350">
        <f t="shared" si="3"/>
        <v>1759.3382260124997</v>
      </c>
      <c r="N36" s="350">
        <f t="shared" si="4"/>
        <v>0</v>
      </c>
      <c r="O36" s="350">
        <f t="shared" si="5"/>
        <v>0</v>
      </c>
      <c r="P36" s="350">
        <f t="shared" si="6"/>
        <v>195.48202511249997</v>
      </c>
      <c r="Q36" s="361"/>
    </row>
    <row r="37" spans="1:17" s="345" customFormat="1" ht="15" x14ac:dyDescent="0.25">
      <c r="A37" s="629" t="str">
        <f>'Estimación por período'!A38</f>
        <v>9.2. Diseño y mejora de los instrumentos de financiamiento, comercialización, gestión de riesgos y empresarización para la cadena de maíz.</v>
      </c>
      <c r="B37" s="350">
        <f>'Estimación por período'!B38</f>
        <v>1566.1648700000001</v>
      </c>
      <c r="C37" s="351">
        <v>0.95</v>
      </c>
      <c r="D37" s="351"/>
      <c r="E37" s="351">
        <v>0.05</v>
      </c>
      <c r="F37" s="350">
        <f>B37*C37</f>
        <v>1487.8566264999999</v>
      </c>
      <c r="G37" s="350">
        <f t="shared" si="13"/>
        <v>0</v>
      </c>
      <c r="H37" s="350">
        <f>B37*E37</f>
        <v>78.308243500000003</v>
      </c>
      <c r="I37" s="352">
        <v>0.9</v>
      </c>
      <c r="J37" s="353"/>
      <c r="K37" s="353"/>
      <c r="L37" s="352">
        <v>0.1</v>
      </c>
      <c r="M37" s="350">
        <f t="shared" si="3"/>
        <v>1339.07096385</v>
      </c>
      <c r="N37" s="350">
        <f t="shared" si="4"/>
        <v>0</v>
      </c>
      <c r="O37" s="350">
        <f t="shared" si="5"/>
        <v>0</v>
      </c>
      <c r="P37" s="350">
        <f t="shared" si="6"/>
        <v>148.78566265000001</v>
      </c>
      <c r="Q37" s="361"/>
    </row>
    <row r="38" spans="1:17" s="345" customFormat="1" ht="15" x14ac:dyDescent="0.25">
      <c r="A38" s="629" t="str">
        <f>'Estimación por período'!A39</f>
        <v>9.3. Fortalecimiento de mecanismos institucionales para el impulso a las inversiones en producción de maíz a mediana y gran escala.</v>
      </c>
      <c r="B38" s="350">
        <f>'Estimación por período'!B39</f>
        <v>3917.8721744999998</v>
      </c>
      <c r="C38" s="351">
        <v>0.8</v>
      </c>
      <c r="D38" s="351">
        <v>0.15</v>
      </c>
      <c r="E38" s="351">
        <v>0.05</v>
      </c>
      <c r="F38" s="350">
        <f>B38*C38</f>
        <v>3134.2977396000001</v>
      </c>
      <c r="G38" s="350">
        <f t="shared" si="13"/>
        <v>587.68082617499999</v>
      </c>
      <c r="H38" s="350">
        <f t="shared" si="9"/>
        <v>195.89360872500001</v>
      </c>
      <c r="I38" s="352">
        <v>0.8</v>
      </c>
      <c r="J38" s="353"/>
      <c r="K38" s="352">
        <v>0.1</v>
      </c>
      <c r="L38" s="352">
        <v>0.1</v>
      </c>
      <c r="M38" s="350">
        <f t="shared" si="3"/>
        <v>2507.4381916800003</v>
      </c>
      <c r="N38" s="350">
        <f t="shared" si="4"/>
        <v>0</v>
      </c>
      <c r="O38" s="350">
        <f t="shared" si="5"/>
        <v>313.42977396000003</v>
      </c>
      <c r="P38" s="350">
        <f t="shared" si="6"/>
        <v>313.42977396000003</v>
      </c>
      <c r="Q38" s="361"/>
    </row>
    <row r="39" spans="1:17" s="345" customFormat="1" ht="15" x14ac:dyDescent="0.25">
      <c r="A39" s="629" t="str">
        <f>'Estimación por período'!A40</f>
        <v>9.4. Diseño y operación del Sistema nacional de Información para la cadena de maíz.</v>
      </c>
      <c r="B39" s="350">
        <f>'Estimación por período'!B40</f>
        <v>2117.3948137500001</v>
      </c>
      <c r="C39" s="351">
        <v>0.75</v>
      </c>
      <c r="D39" s="351">
        <v>0.2</v>
      </c>
      <c r="E39" s="351">
        <v>0.05</v>
      </c>
      <c r="F39" s="350">
        <f t="shared" si="12"/>
        <v>1588.0461103125001</v>
      </c>
      <c r="G39" s="350">
        <f t="shared" si="13"/>
        <v>423.47896275000005</v>
      </c>
      <c r="H39" s="350">
        <f t="shared" si="9"/>
        <v>105.86974068750001</v>
      </c>
      <c r="I39" s="352">
        <v>0.6</v>
      </c>
      <c r="J39" s="353"/>
      <c r="K39" s="352">
        <v>0.3</v>
      </c>
      <c r="L39" s="352">
        <v>0.1</v>
      </c>
      <c r="M39" s="350">
        <f t="shared" si="3"/>
        <v>952.82766618749997</v>
      </c>
      <c r="N39" s="350">
        <f t="shared" si="4"/>
        <v>0</v>
      </c>
      <c r="O39" s="350">
        <f t="shared" si="5"/>
        <v>476.41383309374999</v>
      </c>
      <c r="P39" s="350">
        <f t="shared" si="6"/>
        <v>158.80461103125003</v>
      </c>
      <c r="Q39" s="361"/>
    </row>
    <row r="40" spans="1:17" s="345" customFormat="1" ht="15" x14ac:dyDescent="0.25">
      <c r="A40" s="629" t="str">
        <f>'Estimación por período'!A41</f>
        <v>9.5. Constitución y fortalecimiento de la Organización de Cadena de maíz.</v>
      </c>
      <c r="B40" s="350">
        <f>'Estimación por período'!B41</f>
        <v>960.94347300000004</v>
      </c>
      <c r="C40" s="351">
        <v>0.75</v>
      </c>
      <c r="D40" s="351">
        <v>0.2</v>
      </c>
      <c r="E40" s="351">
        <v>0.05</v>
      </c>
      <c r="F40" s="350">
        <f t="shared" si="12"/>
        <v>720.70760474999997</v>
      </c>
      <c r="G40" s="350">
        <f t="shared" si="13"/>
        <v>192.18869460000002</v>
      </c>
      <c r="H40" s="350">
        <f t="shared" si="9"/>
        <v>48.047173650000005</v>
      </c>
      <c r="I40" s="352">
        <v>0.7</v>
      </c>
      <c r="J40" s="353"/>
      <c r="K40" s="352">
        <v>0.2</v>
      </c>
      <c r="L40" s="352">
        <v>0.1</v>
      </c>
      <c r="M40" s="350">
        <f t="shared" si="3"/>
        <v>504.49532332499996</v>
      </c>
      <c r="N40" s="350">
        <f t="shared" si="4"/>
        <v>0</v>
      </c>
      <c r="O40" s="350">
        <f t="shared" si="5"/>
        <v>144.14152095</v>
      </c>
      <c r="P40" s="350">
        <f t="shared" si="6"/>
        <v>72.070760475</v>
      </c>
      <c r="Q40" s="361"/>
    </row>
    <row r="41" spans="1:17" s="345" customFormat="1" ht="30" x14ac:dyDescent="0.25">
      <c r="A41" s="628" t="str">
        <f>'Estimación por período'!A42</f>
        <v>9.6. Adopción, promoción y monitoreo de la política pública para la cadena de maíz.</v>
      </c>
      <c r="B41" s="350">
        <f>'Estimación por período'!B42</f>
        <v>1066.1131290000001</v>
      </c>
      <c r="C41" s="351">
        <v>0.9</v>
      </c>
      <c r="D41" s="351">
        <v>0.1</v>
      </c>
      <c r="E41" s="351"/>
      <c r="F41" s="350">
        <f t="shared" si="12"/>
        <v>959.50181610000004</v>
      </c>
      <c r="G41" s="350">
        <f t="shared" si="13"/>
        <v>106.61131290000002</v>
      </c>
      <c r="H41" s="350">
        <f t="shared" si="9"/>
        <v>0</v>
      </c>
      <c r="I41" s="352">
        <v>0.8</v>
      </c>
      <c r="J41" s="353"/>
      <c r="K41" s="352">
        <v>0.1</v>
      </c>
      <c r="L41" s="352">
        <v>0.1</v>
      </c>
      <c r="M41" s="350">
        <f t="shared" si="3"/>
        <v>767.60145288000012</v>
      </c>
      <c r="N41" s="350">
        <f t="shared" si="4"/>
        <v>0</v>
      </c>
      <c r="O41" s="350">
        <f t="shared" si="5"/>
        <v>95.950181610000016</v>
      </c>
      <c r="P41" s="350">
        <f t="shared" si="6"/>
        <v>95.950181610000016</v>
      </c>
      <c r="Q41" s="361"/>
    </row>
    <row r="42" spans="1:17" s="347" customFormat="1" ht="15.75" x14ac:dyDescent="0.25">
      <c r="A42" s="378" t="s">
        <v>286</v>
      </c>
      <c r="B42" s="363">
        <f>'Estimación por período'!B43</f>
        <v>2983597.712243442</v>
      </c>
      <c r="C42" s="375">
        <f>F42/B42</f>
        <v>0.93294870833348376</v>
      </c>
      <c r="D42" s="376">
        <f>G42/B42</f>
        <v>5.1509728005788159E-2</v>
      </c>
      <c r="E42" s="377">
        <f>H42/B42</f>
        <v>1.5541563660728083E-2</v>
      </c>
      <c r="F42" s="365">
        <f>F6+F9+F12+F18+F21+F23+F32+F35+F29</f>
        <v>2783543.6318242564</v>
      </c>
      <c r="G42" s="366">
        <f t="shared" ref="G42:P42" si="25">G6+G9+G12+G18+G21+G23+G32+G35+G29</f>
        <v>153684.30663635151</v>
      </c>
      <c r="H42" s="367">
        <f t="shared" si="25"/>
        <v>46369.77378283412</v>
      </c>
      <c r="I42" s="364">
        <f>M42/F42</f>
        <v>0.85075227532857589</v>
      </c>
      <c r="J42" s="375">
        <f>N42/F42</f>
        <v>1.4644132803452196E-2</v>
      </c>
      <c r="K42" s="375">
        <f>O42/F42</f>
        <v>0.12105737914952852</v>
      </c>
      <c r="L42" s="375">
        <f>P42/F42</f>
        <v>1.3546212718443553E-2</v>
      </c>
      <c r="M42" s="368">
        <f t="shared" si="25"/>
        <v>2368106.0782508538</v>
      </c>
      <c r="N42" s="368">
        <f t="shared" si="25"/>
        <v>40762.582608638055</v>
      </c>
      <c r="O42" s="368">
        <f t="shared" si="25"/>
        <v>336968.49681700463</v>
      </c>
      <c r="P42" s="368">
        <f t="shared" si="25"/>
        <v>37706.474147760302</v>
      </c>
      <c r="Q42" s="361"/>
    </row>
    <row r="43" spans="1:17" s="167" customFormat="1" ht="15.75" x14ac:dyDescent="0.25">
      <c r="A43" s="378" t="s">
        <v>415</v>
      </c>
      <c r="B43" s="53"/>
      <c r="C43" s="53"/>
      <c r="D43" s="53"/>
      <c r="E43" s="53"/>
      <c r="F43" s="365">
        <f>F42/20</f>
        <v>139177.18159121281</v>
      </c>
      <c r="G43" s="366">
        <f>G42/20</f>
        <v>7684.2153318175751</v>
      </c>
      <c r="H43" s="367">
        <f>H42/20</f>
        <v>2318.4886891417059</v>
      </c>
      <c r="M43" s="368">
        <f>M42/12</f>
        <v>197342.17318757114</v>
      </c>
      <c r="N43" s="368">
        <f>N42/12</f>
        <v>3396.8818840531712</v>
      </c>
      <c r="O43" s="368">
        <f>O42/12</f>
        <v>28080.708068083721</v>
      </c>
      <c r="P43" s="368">
        <f>P42/12</f>
        <v>3142.206178980025</v>
      </c>
      <c r="Q43" s="361"/>
    </row>
  </sheetData>
  <sheetProtection algorithmName="SHA-512" hashValue="v2q2Q0SeNmPwonvbispuLuL6SG6bHWFqvKg/Sq0m8XqPb527tgdereHXHDLQq5RtTqvCKiycR/OfUYruzGl5Qw==" saltValue="BZq038q1DSEHvJaSid12UA==" spinCount="100000" sheet="1" objects="1" scenarios="1"/>
  <mergeCells count="2">
    <mergeCell ref="A1:P1"/>
    <mergeCell ref="A2:P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74"/>
  <sheetViews>
    <sheetView showGridLines="0" topLeftCell="A10" zoomScale="70" zoomScaleNormal="70" workbookViewId="0">
      <selection activeCell="B11" sqref="B11"/>
    </sheetView>
  </sheetViews>
  <sheetFormatPr baseColWidth="10" defaultColWidth="10.7109375" defaultRowHeight="14.25" x14ac:dyDescent="0.2"/>
  <cols>
    <col min="1" max="1" width="13.42578125" style="37" customWidth="1"/>
    <col min="2" max="2" width="67.42578125" style="37" customWidth="1"/>
    <col min="3" max="3" width="26.42578125" style="37" customWidth="1"/>
    <col min="4" max="4" width="27.140625" style="37" customWidth="1"/>
    <col min="5" max="5" width="22.42578125" style="37" customWidth="1"/>
    <col min="6" max="7" width="19.7109375" style="37" bestFit="1" customWidth="1"/>
    <col min="8" max="8" width="21.42578125" style="37" customWidth="1"/>
    <col min="9" max="9" width="19.7109375" style="37" hidden="1" customWidth="1"/>
    <col min="10" max="11" width="19.7109375" style="37" bestFit="1" customWidth="1"/>
    <col min="12" max="12" width="19.140625" style="37" bestFit="1" customWidth="1"/>
    <col min="13" max="22" width="19.7109375" style="37" bestFit="1" customWidth="1"/>
    <col min="23" max="23" width="20.42578125" style="37" bestFit="1" customWidth="1"/>
    <col min="24" max="24" width="25.42578125" style="37" customWidth="1"/>
    <col min="25" max="25" width="22.28515625" style="37" bestFit="1" customWidth="1"/>
    <col min="26" max="26" width="19.140625" style="37" bestFit="1" customWidth="1"/>
    <col min="27" max="27" width="17" style="37" bestFit="1" customWidth="1"/>
    <col min="28" max="28" width="17.85546875" style="37" customWidth="1"/>
    <col min="29" max="16384" width="10.7109375" style="37"/>
  </cols>
  <sheetData>
    <row r="2" spans="1:26" ht="15" x14ac:dyDescent="0.25">
      <c r="A2" s="58" t="s">
        <v>98</v>
      </c>
    </row>
    <row r="3" spans="1:26" s="38" customFormat="1" ht="15" x14ac:dyDescent="0.25">
      <c r="A3" s="50"/>
    </row>
    <row r="4" spans="1:26" ht="21.75" customHeight="1" x14ac:dyDescent="0.25">
      <c r="A4" s="59"/>
      <c r="B4" s="60" t="str">
        <f>'PPP_V3_y Costos'!C2</f>
        <v>1. Incremento del consumo de maíz nacional.</v>
      </c>
      <c r="C4" s="61"/>
      <c r="D4" s="62"/>
    </row>
    <row r="5" spans="1:26" ht="26.25" customHeight="1" x14ac:dyDescent="0.2"/>
    <row r="6" spans="1:26" ht="15" x14ac:dyDescent="0.25">
      <c r="E6" s="63">
        <v>1</v>
      </c>
      <c r="F6" s="63">
        <v>2</v>
      </c>
      <c r="G6" s="63">
        <v>3</v>
      </c>
      <c r="H6" s="63">
        <v>4</v>
      </c>
      <c r="I6" s="63">
        <v>5</v>
      </c>
      <c r="J6" s="63">
        <v>6</v>
      </c>
      <c r="K6" s="63">
        <v>7</v>
      </c>
      <c r="L6" s="63">
        <v>8</v>
      </c>
      <c r="M6" s="63">
        <v>9</v>
      </c>
      <c r="N6" s="63">
        <v>10</v>
      </c>
      <c r="O6" s="63">
        <v>11</v>
      </c>
      <c r="P6" s="63">
        <v>12</v>
      </c>
      <c r="Q6" s="63">
        <v>13</v>
      </c>
      <c r="R6" s="63">
        <v>14</v>
      </c>
      <c r="S6" s="63">
        <v>15</v>
      </c>
      <c r="T6" s="63">
        <v>16</v>
      </c>
      <c r="U6" s="63">
        <v>17</v>
      </c>
      <c r="V6" s="63">
        <v>18</v>
      </c>
      <c r="W6" s="63">
        <v>19</v>
      </c>
      <c r="X6" s="63">
        <v>20</v>
      </c>
      <c r="Y6" s="63" t="s">
        <v>33</v>
      </c>
    </row>
    <row r="7" spans="1:26" s="40" customFormat="1" ht="15" x14ac:dyDescent="0.25">
      <c r="A7" s="37"/>
      <c r="B7" s="64" t="s">
        <v>29</v>
      </c>
      <c r="C7" s="65" t="s">
        <v>77</v>
      </c>
      <c r="D7" s="65" t="s">
        <v>176</v>
      </c>
      <c r="E7" s="66">
        <f t="shared" ref="E7" si="0">SUM(E8:E9)</f>
        <v>1180628211.9875</v>
      </c>
      <c r="F7" s="66">
        <f>SUM(F8:F9)</f>
        <v>13207564847.949997</v>
      </c>
      <c r="G7" s="66">
        <f t="shared" ref="G7:X7" si="1">SUM(G8:G9)</f>
        <v>13207564847.949997</v>
      </c>
      <c r="H7" s="66">
        <f t="shared" si="1"/>
        <v>13207564847.949997</v>
      </c>
      <c r="I7" s="66">
        <f t="shared" si="1"/>
        <v>13207564847.949997</v>
      </c>
      <c r="J7" s="66">
        <f t="shared" si="1"/>
        <v>13207564847.949997</v>
      </c>
      <c r="K7" s="66">
        <f t="shared" si="1"/>
        <v>4722512847.9499998</v>
      </c>
      <c r="L7" s="66">
        <f t="shared" si="1"/>
        <v>4722512847.9499998</v>
      </c>
      <c r="M7" s="66">
        <f t="shared" si="1"/>
        <v>4722512847.9499998</v>
      </c>
      <c r="N7" s="66">
        <f t="shared" si="1"/>
        <v>4722512847.9499998</v>
      </c>
      <c r="O7" s="66">
        <f t="shared" si="1"/>
        <v>4722512847.9499998</v>
      </c>
      <c r="P7" s="66">
        <f t="shared" si="1"/>
        <v>4722512847.9499998</v>
      </c>
      <c r="Q7" s="66">
        <f t="shared" si="1"/>
        <v>4722512847.9499998</v>
      </c>
      <c r="R7" s="66">
        <f t="shared" si="1"/>
        <v>4722512847.9499998</v>
      </c>
      <c r="S7" s="66">
        <f t="shared" si="1"/>
        <v>4722512847.9499998</v>
      </c>
      <c r="T7" s="66">
        <f t="shared" si="1"/>
        <v>4722512847.9499998</v>
      </c>
      <c r="U7" s="66">
        <f t="shared" si="1"/>
        <v>4722512847.9499998</v>
      </c>
      <c r="V7" s="66">
        <f t="shared" si="1"/>
        <v>4722512847.9499998</v>
      </c>
      <c r="W7" s="66">
        <f t="shared" si="1"/>
        <v>4722512847.9499998</v>
      </c>
      <c r="X7" s="66">
        <f t="shared" si="1"/>
        <v>4722512847.9499998</v>
      </c>
      <c r="Y7" s="66">
        <f>SUM(E7:X7)</f>
        <v>133333632323.03745</v>
      </c>
    </row>
    <row r="8" spans="1:26" s="71" customFormat="1" ht="60" customHeight="1" x14ac:dyDescent="0.2">
      <c r="A8" s="68"/>
      <c r="B8" s="69" t="str">
        <f>'PPP_V3_y Costos'!D2</f>
        <v>1.1. Aumento de la participación del maíz nacional en el mercado de consumo animal.</v>
      </c>
      <c r="C8" s="114" t="s">
        <v>405</v>
      </c>
      <c r="D8" s="114" t="s">
        <v>177</v>
      </c>
      <c r="E8" s="70">
        <f>I37*3</f>
        <v>516491238.75</v>
      </c>
      <c r="F8" s="70">
        <f>H38</f>
        <v>10551016954.999998</v>
      </c>
      <c r="G8" s="70">
        <f t="shared" ref="G8:W8" si="2">F8</f>
        <v>10551016954.999998</v>
      </c>
      <c r="H8" s="70">
        <f t="shared" si="2"/>
        <v>10551016954.999998</v>
      </c>
      <c r="I8" s="70">
        <f t="shared" si="2"/>
        <v>10551016954.999998</v>
      </c>
      <c r="J8" s="70">
        <f t="shared" si="2"/>
        <v>10551016954.999998</v>
      </c>
      <c r="K8" s="70">
        <f>H37</f>
        <v>2065964955</v>
      </c>
      <c r="L8" s="70">
        <f t="shared" si="2"/>
        <v>2065964955</v>
      </c>
      <c r="M8" s="70">
        <f t="shared" si="2"/>
        <v>2065964955</v>
      </c>
      <c r="N8" s="70">
        <f t="shared" si="2"/>
        <v>2065964955</v>
      </c>
      <c r="O8" s="70">
        <f t="shared" si="2"/>
        <v>2065964955</v>
      </c>
      <c r="P8" s="70">
        <f t="shared" si="2"/>
        <v>2065964955</v>
      </c>
      <c r="Q8" s="70">
        <f t="shared" si="2"/>
        <v>2065964955</v>
      </c>
      <c r="R8" s="70">
        <f t="shared" si="2"/>
        <v>2065964955</v>
      </c>
      <c r="S8" s="70">
        <f t="shared" si="2"/>
        <v>2065964955</v>
      </c>
      <c r="T8" s="70">
        <f t="shared" si="2"/>
        <v>2065964955</v>
      </c>
      <c r="U8" s="70">
        <f t="shared" si="2"/>
        <v>2065964955</v>
      </c>
      <c r="V8" s="70">
        <f t="shared" si="2"/>
        <v>2065964955</v>
      </c>
      <c r="W8" s="70">
        <f t="shared" si="2"/>
        <v>2065964955</v>
      </c>
      <c r="X8" s="70">
        <f>W8</f>
        <v>2065964955</v>
      </c>
      <c r="Y8" s="70">
        <f>SUM(E8:X8)</f>
        <v>82195085383.75</v>
      </c>
    </row>
    <row r="9" spans="1:26" s="71" customFormat="1" ht="42.95" customHeight="1" x14ac:dyDescent="0.2">
      <c r="A9" s="68"/>
      <c r="B9" s="69" t="str">
        <f>'PPP_V3_y Costos'!D3</f>
        <v>1.2. Posicionamiento de la oferta del maíz nacional y sus derivados, para  alimentación humana y otros usos.</v>
      </c>
      <c r="C9" s="114" t="s">
        <v>235</v>
      </c>
      <c r="D9" s="114" t="s">
        <v>177</v>
      </c>
      <c r="E9" s="70">
        <f>I71*3</f>
        <v>664136973.23749995</v>
      </c>
      <c r="F9" s="70">
        <f>H71</f>
        <v>2656547892.9499998</v>
      </c>
      <c r="G9" s="70">
        <f>H71</f>
        <v>2656547892.9499998</v>
      </c>
      <c r="H9" s="70">
        <f t="shared" ref="H9:X9" si="3">G9</f>
        <v>2656547892.9499998</v>
      </c>
      <c r="I9" s="70">
        <f t="shared" si="3"/>
        <v>2656547892.9499998</v>
      </c>
      <c r="J9" s="70">
        <f t="shared" si="3"/>
        <v>2656547892.9499998</v>
      </c>
      <c r="K9" s="70">
        <f t="shared" si="3"/>
        <v>2656547892.9499998</v>
      </c>
      <c r="L9" s="70">
        <f t="shared" si="3"/>
        <v>2656547892.9499998</v>
      </c>
      <c r="M9" s="70">
        <f t="shared" si="3"/>
        <v>2656547892.9499998</v>
      </c>
      <c r="N9" s="70">
        <f t="shared" si="3"/>
        <v>2656547892.9499998</v>
      </c>
      <c r="O9" s="70">
        <f t="shared" si="3"/>
        <v>2656547892.9499998</v>
      </c>
      <c r="P9" s="70">
        <f t="shared" si="3"/>
        <v>2656547892.9499998</v>
      </c>
      <c r="Q9" s="70">
        <f t="shared" si="3"/>
        <v>2656547892.9499998</v>
      </c>
      <c r="R9" s="70">
        <f t="shared" si="3"/>
        <v>2656547892.9499998</v>
      </c>
      <c r="S9" s="70">
        <f t="shared" si="3"/>
        <v>2656547892.9499998</v>
      </c>
      <c r="T9" s="70">
        <f t="shared" si="3"/>
        <v>2656547892.9499998</v>
      </c>
      <c r="U9" s="70">
        <f t="shared" si="3"/>
        <v>2656547892.9499998</v>
      </c>
      <c r="V9" s="70">
        <f t="shared" si="3"/>
        <v>2656547892.9499998</v>
      </c>
      <c r="W9" s="70">
        <f t="shared" si="3"/>
        <v>2656547892.9499998</v>
      </c>
      <c r="X9" s="70">
        <f t="shared" si="3"/>
        <v>2656547892.9499998</v>
      </c>
      <c r="Y9" s="70">
        <f>SUM(E9:X9)</f>
        <v>51138546939.287483</v>
      </c>
    </row>
    <row r="10" spans="1:26" s="40" customFormat="1" ht="24.75" customHeight="1" x14ac:dyDescent="0.25">
      <c r="A10" s="37"/>
      <c r="B10" s="64" t="s">
        <v>33</v>
      </c>
      <c r="C10" s="64"/>
      <c r="D10" s="64"/>
      <c r="E10" s="72">
        <f>E8+E9</f>
        <v>1180628211.9875</v>
      </c>
      <c r="F10" s="72">
        <f t="shared" ref="F10:X10" si="4">F8+F9</f>
        <v>13207564847.949997</v>
      </c>
      <c r="G10" s="72">
        <f t="shared" si="4"/>
        <v>13207564847.949997</v>
      </c>
      <c r="H10" s="72">
        <f t="shared" si="4"/>
        <v>13207564847.949997</v>
      </c>
      <c r="I10" s="72">
        <f t="shared" si="4"/>
        <v>13207564847.949997</v>
      </c>
      <c r="J10" s="72">
        <f t="shared" si="4"/>
        <v>13207564847.949997</v>
      </c>
      <c r="K10" s="72">
        <f t="shared" si="4"/>
        <v>4722512847.9499998</v>
      </c>
      <c r="L10" s="72">
        <f t="shared" si="4"/>
        <v>4722512847.9499998</v>
      </c>
      <c r="M10" s="72">
        <f t="shared" si="4"/>
        <v>4722512847.9499998</v>
      </c>
      <c r="N10" s="72">
        <f t="shared" si="4"/>
        <v>4722512847.9499998</v>
      </c>
      <c r="O10" s="72">
        <f t="shared" si="4"/>
        <v>4722512847.9499998</v>
      </c>
      <c r="P10" s="72">
        <f t="shared" si="4"/>
        <v>4722512847.9499998</v>
      </c>
      <c r="Q10" s="72">
        <f t="shared" si="4"/>
        <v>4722512847.9499998</v>
      </c>
      <c r="R10" s="72">
        <f t="shared" si="4"/>
        <v>4722512847.9499998</v>
      </c>
      <c r="S10" s="72">
        <f t="shared" si="4"/>
        <v>4722512847.9499998</v>
      </c>
      <c r="T10" s="72">
        <f t="shared" si="4"/>
        <v>4722512847.9499998</v>
      </c>
      <c r="U10" s="72">
        <f t="shared" si="4"/>
        <v>4722512847.9499998</v>
      </c>
      <c r="V10" s="72">
        <f t="shared" si="4"/>
        <v>4722512847.9499998</v>
      </c>
      <c r="W10" s="72">
        <f t="shared" si="4"/>
        <v>4722512847.9499998</v>
      </c>
      <c r="X10" s="72">
        <f t="shared" si="4"/>
        <v>4722512847.9499998</v>
      </c>
      <c r="Y10" s="72">
        <f>Y8+Y9</f>
        <v>133333632323.03748</v>
      </c>
    </row>
    <row r="11" spans="1:26" s="76" customFormat="1" ht="24.75" customHeight="1" x14ac:dyDescent="0.25">
      <c r="A11" s="38"/>
      <c r="B11" s="73"/>
      <c r="C11" s="73"/>
      <c r="D11" s="73"/>
      <c r="E11" s="73"/>
      <c r="F11" s="74"/>
      <c r="G11" s="75"/>
      <c r="H11" s="74"/>
      <c r="I11" s="74"/>
      <c r="J11" s="74"/>
      <c r="K11" s="74"/>
      <c r="L11" s="74"/>
      <c r="M11" s="74"/>
      <c r="N11" s="74"/>
      <c r="O11" s="74"/>
      <c r="P11" s="74"/>
      <c r="Q11" s="74"/>
      <c r="R11" s="74"/>
      <c r="S11" s="74"/>
      <c r="T11" s="74"/>
      <c r="U11" s="74"/>
      <c r="V11" s="74"/>
      <c r="W11" s="74"/>
      <c r="X11" s="74"/>
      <c r="Y11" s="74"/>
      <c r="Z11" s="74"/>
    </row>
    <row r="13" spans="1:26" s="38" customFormat="1" ht="14.45" customHeight="1" x14ac:dyDescent="0.25">
      <c r="B13" s="717" t="str">
        <f>B8</f>
        <v>1.1. Aumento de la participación del maíz nacional en el mercado de consumo animal.</v>
      </c>
      <c r="C13" s="718"/>
      <c r="D13" s="718"/>
      <c r="E13" s="718"/>
      <c r="F13" s="718"/>
      <c r="G13" s="718"/>
      <c r="H13" s="718"/>
      <c r="I13" s="77"/>
      <c r="X13" s="78"/>
    </row>
    <row r="14" spans="1:26" s="38" customFormat="1" ht="14.45" customHeight="1" x14ac:dyDescent="0.25">
      <c r="B14" s="719"/>
      <c r="C14" s="719"/>
      <c r="D14" s="719"/>
      <c r="E14" s="719"/>
      <c r="F14" s="719"/>
      <c r="G14" s="719"/>
      <c r="H14" s="719"/>
      <c r="I14" s="77"/>
      <c r="X14" s="78"/>
    </row>
    <row r="15" spans="1:26" ht="15" x14ac:dyDescent="0.25">
      <c r="B15" s="79" t="s">
        <v>79</v>
      </c>
      <c r="C15" s="79" t="s">
        <v>59</v>
      </c>
      <c r="D15" s="79" t="s">
        <v>56</v>
      </c>
      <c r="E15" s="79" t="s">
        <v>55</v>
      </c>
      <c r="F15" s="80" t="s">
        <v>108</v>
      </c>
      <c r="G15" s="79" t="s">
        <v>81</v>
      </c>
      <c r="H15" s="79" t="s">
        <v>82</v>
      </c>
      <c r="I15" s="102"/>
      <c r="X15" s="81"/>
    </row>
    <row r="16" spans="1:26" x14ac:dyDescent="0.2">
      <c r="B16" s="39" t="s">
        <v>83</v>
      </c>
      <c r="C16" s="39">
        <v>6</v>
      </c>
      <c r="D16" s="39" t="s">
        <v>84</v>
      </c>
      <c r="E16" s="45">
        <v>500000</v>
      </c>
      <c r="F16" s="39"/>
      <c r="G16" s="39"/>
      <c r="H16" s="82">
        <f>C16*E16</f>
        <v>3000000</v>
      </c>
      <c r="I16" s="53"/>
    </row>
    <row r="17" spans="2:10" x14ac:dyDescent="0.2">
      <c r="B17" s="39" t="s">
        <v>85</v>
      </c>
      <c r="C17" s="39">
        <v>6</v>
      </c>
      <c r="D17" s="39" t="s">
        <v>84</v>
      </c>
      <c r="E17" s="45">
        <v>100000</v>
      </c>
      <c r="F17" s="39"/>
      <c r="G17" s="39"/>
      <c r="H17" s="82">
        <f t="shared" ref="H17:H25" si="5">C17*E17</f>
        <v>600000</v>
      </c>
      <c r="I17" s="53"/>
    </row>
    <row r="18" spans="2:10" x14ac:dyDescent="0.2">
      <c r="B18" s="39" t="s">
        <v>109</v>
      </c>
      <c r="C18" s="39">
        <v>1</v>
      </c>
      <c r="D18" s="39" t="s">
        <v>159</v>
      </c>
      <c r="E18" s="45">
        <v>11154675.000000002</v>
      </c>
      <c r="F18" s="39"/>
      <c r="G18" s="39"/>
      <c r="H18" s="82">
        <f>C18*E18</f>
        <v>11154675.000000002</v>
      </c>
      <c r="I18" s="379"/>
      <c r="J18" s="38"/>
    </row>
    <row r="19" spans="2:10" x14ac:dyDescent="0.2">
      <c r="B19" s="39" t="s">
        <v>102</v>
      </c>
      <c r="C19" s="39">
        <v>20</v>
      </c>
      <c r="D19" s="39" t="s">
        <v>84</v>
      </c>
      <c r="E19" s="45">
        <v>2300000</v>
      </c>
      <c r="F19" s="39"/>
      <c r="G19" s="39"/>
      <c r="H19" s="82">
        <f t="shared" si="5"/>
        <v>46000000</v>
      </c>
      <c r="I19" s="53"/>
    </row>
    <row r="20" spans="2:10" x14ac:dyDescent="0.2">
      <c r="B20" s="39" t="s">
        <v>103</v>
      </c>
      <c r="C20" s="39">
        <v>20</v>
      </c>
      <c r="D20" s="39" t="s">
        <v>84</v>
      </c>
      <c r="E20" s="45">
        <v>460000</v>
      </c>
      <c r="F20" s="39"/>
      <c r="G20" s="39"/>
      <c r="H20" s="82">
        <f t="shared" si="5"/>
        <v>9200000</v>
      </c>
      <c r="I20" s="53"/>
    </row>
    <row r="21" spans="2:10" x14ac:dyDescent="0.2">
      <c r="B21" s="39" t="s">
        <v>104</v>
      </c>
      <c r="C21" s="39">
        <f>4*3</f>
        <v>12</v>
      </c>
      <c r="D21" s="39" t="s">
        <v>84</v>
      </c>
      <c r="E21" s="83">
        <v>3270000</v>
      </c>
      <c r="F21" s="39"/>
      <c r="G21" s="39"/>
      <c r="H21" s="82">
        <f t="shared" si="5"/>
        <v>39240000</v>
      </c>
      <c r="I21" s="53"/>
    </row>
    <row r="22" spans="2:10" x14ac:dyDescent="0.2">
      <c r="B22" s="39" t="s">
        <v>251</v>
      </c>
      <c r="C22" s="39">
        <v>10</v>
      </c>
      <c r="D22" s="39" t="s">
        <v>106</v>
      </c>
      <c r="E22" s="45">
        <v>20000000</v>
      </c>
      <c r="F22" s="39"/>
      <c r="G22" s="39"/>
      <c r="H22" s="82">
        <f>C22*E22</f>
        <v>200000000</v>
      </c>
      <c r="I22" s="138"/>
      <c r="J22" s="38"/>
    </row>
    <row r="23" spans="2:10" x14ac:dyDescent="0.2">
      <c r="B23" s="39" t="s">
        <v>281</v>
      </c>
      <c r="C23" s="39">
        <v>10</v>
      </c>
      <c r="D23" s="39" t="s">
        <v>111</v>
      </c>
      <c r="E23" s="45">
        <v>52200000</v>
      </c>
      <c r="F23" s="39"/>
      <c r="G23" s="39"/>
      <c r="H23" s="82">
        <f>C23*E23</f>
        <v>522000000</v>
      </c>
      <c r="I23" s="138"/>
      <c r="J23" s="38"/>
    </row>
    <row r="24" spans="2:10" x14ac:dyDescent="0.2">
      <c r="B24" s="105" t="s">
        <v>87</v>
      </c>
      <c r="C24" s="105">
        <v>10</v>
      </c>
      <c r="D24" s="105" t="s">
        <v>76</v>
      </c>
      <c r="E24" s="95">
        <v>6000000</v>
      </c>
      <c r="F24" s="105"/>
      <c r="G24" s="105"/>
      <c r="H24" s="82">
        <f t="shared" si="5"/>
        <v>60000000</v>
      </c>
      <c r="I24" s="53"/>
    </row>
    <row r="25" spans="2:10" x14ac:dyDescent="0.2">
      <c r="B25" s="105" t="s">
        <v>88</v>
      </c>
      <c r="C25" s="105">
        <v>10</v>
      </c>
      <c r="D25" s="105" t="s">
        <v>76</v>
      </c>
      <c r="E25" s="95">
        <v>1800000</v>
      </c>
      <c r="F25" s="105"/>
      <c r="G25" s="105"/>
      <c r="H25" s="82">
        <f t="shared" si="5"/>
        <v>18000000</v>
      </c>
      <c r="I25" s="53"/>
    </row>
    <row r="26" spans="2:10" x14ac:dyDescent="0.2">
      <c r="B26" s="105" t="s">
        <v>115</v>
      </c>
      <c r="C26" s="105">
        <v>4</v>
      </c>
      <c r="D26" s="105" t="s">
        <v>84</v>
      </c>
      <c r="E26" s="95">
        <v>142800000</v>
      </c>
      <c r="F26" s="105"/>
      <c r="G26" s="105"/>
      <c r="H26" s="82">
        <f>C26*E26</f>
        <v>571200000</v>
      </c>
      <c r="I26" s="53"/>
    </row>
    <row r="27" spans="2:10" x14ac:dyDescent="0.2">
      <c r="B27" s="105" t="s">
        <v>427</v>
      </c>
      <c r="C27" s="105">
        <f>100*10</f>
        <v>1000</v>
      </c>
      <c r="D27" s="105" t="s">
        <v>107</v>
      </c>
      <c r="E27" s="95">
        <v>182000</v>
      </c>
      <c r="F27" s="209">
        <v>0.5</v>
      </c>
      <c r="G27" s="105"/>
      <c r="H27" s="82">
        <f>C27*E27*F27</f>
        <v>91000000</v>
      </c>
      <c r="I27" s="53"/>
    </row>
    <row r="28" spans="2:10" s="102" customFormat="1" x14ac:dyDescent="0.2">
      <c r="B28" s="105" t="s">
        <v>89</v>
      </c>
      <c r="C28" s="105">
        <f>4*10</f>
        <v>40</v>
      </c>
      <c r="D28" s="105" t="s">
        <v>158</v>
      </c>
      <c r="E28" s="95">
        <v>450000</v>
      </c>
      <c r="F28" s="209"/>
      <c r="G28" s="105"/>
      <c r="H28" s="82">
        <f>C28*E28</f>
        <v>18000000</v>
      </c>
      <c r="I28" s="53"/>
    </row>
    <row r="29" spans="2:10" x14ac:dyDescent="0.2">
      <c r="B29" s="105" t="s">
        <v>105</v>
      </c>
      <c r="C29" s="105">
        <v>8</v>
      </c>
      <c r="D29" s="105" t="s">
        <v>112</v>
      </c>
      <c r="E29" s="82">
        <v>18000000</v>
      </c>
      <c r="F29" s="105"/>
      <c r="G29" s="105"/>
      <c r="H29" s="82">
        <f t="shared" ref="H29:H30" si="6">C29*E29</f>
        <v>144000000</v>
      </c>
      <c r="I29" s="138"/>
      <c r="J29" s="38"/>
    </row>
    <row r="30" spans="2:10" s="102" customFormat="1" x14ac:dyDescent="0.2">
      <c r="B30" s="105" t="s">
        <v>215</v>
      </c>
      <c r="C30" s="55">
        <v>223880</v>
      </c>
      <c r="D30" s="105" t="s">
        <v>428</v>
      </c>
      <c r="E30" s="82">
        <v>37899.999999999993</v>
      </c>
      <c r="F30" s="105"/>
      <c r="G30" s="105"/>
      <c r="H30" s="82">
        <f t="shared" si="6"/>
        <v>8485051999.9999981</v>
      </c>
      <c r="I30" s="379"/>
      <c r="J30" s="103"/>
    </row>
    <row r="31" spans="2:10" x14ac:dyDescent="0.2">
      <c r="B31" s="105" t="s">
        <v>90</v>
      </c>
      <c r="C31" s="105">
        <v>5</v>
      </c>
      <c r="D31" s="105" t="s">
        <v>160</v>
      </c>
      <c r="E31" s="82">
        <v>7862772</v>
      </c>
      <c r="F31" s="209">
        <v>0.5</v>
      </c>
      <c r="G31" s="105">
        <v>12</v>
      </c>
      <c r="H31" s="82">
        <f>C31*E31*G31*F31</f>
        <v>235883160</v>
      </c>
      <c r="I31" s="53"/>
    </row>
    <row r="32" spans="2:10" x14ac:dyDescent="0.2">
      <c r="B32" s="105" t="s">
        <v>91</v>
      </c>
      <c r="C32" s="105">
        <v>8</v>
      </c>
      <c r="D32" s="105" t="s">
        <v>172</v>
      </c>
      <c r="E32" s="82">
        <v>1313122</v>
      </c>
      <c r="F32" s="105"/>
      <c r="G32" s="105"/>
      <c r="H32" s="82">
        <f>C32*E32</f>
        <v>10504976</v>
      </c>
      <c r="I32" s="53"/>
    </row>
    <row r="33" spans="1:10" s="102" customFormat="1" x14ac:dyDescent="0.2">
      <c r="B33" s="105" t="s">
        <v>173</v>
      </c>
      <c r="C33" s="105">
        <v>4</v>
      </c>
      <c r="D33" s="105" t="s">
        <v>114</v>
      </c>
      <c r="E33" s="82">
        <v>3931384</v>
      </c>
      <c r="F33" s="209">
        <v>0.5</v>
      </c>
      <c r="G33" s="105">
        <v>8</v>
      </c>
      <c r="H33" s="82">
        <f>C33*E33*G33*F33</f>
        <v>62902144</v>
      </c>
      <c r="I33" s="53"/>
    </row>
    <row r="34" spans="1:10" s="102" customFormat="1" x14ac:dyDescent="0.2">
      <c r="B34" s="105" t="s">
        <v>57</v>
      </c>
      <c r="C34" s="105">
        <v>4</v>
      </c>
      <c r="D34" s="105" t="s">
        <v>84</v>
      </c>
      <c r="E34" s="82">
        <v>1300000</v>
      </c>
      <c r="F34" s="209">
        <v>0.5</v>
      </c>
      <c r="G34" s="105">
        <v>8</v>
      </c>
      <c r="H34" s="82">
        <f>C34*E34*G34*F34</f>
        <v>20800000</v>
      </c>
      <c r="I34" s="53"/>
    </row>
    <row r="35" spans="1:10" s="102" customFormat="1" x14ac:dyDescent="0.2">
      <c r="B35" s="105" t="s">
        <v>194</v>
      </c>
      <c r="C35" s="105">
        <v>4</v>
      </c>
      <c r="D35" s="105" t="s">
        <v>84</v>
      </c>
      <c r="E35" s="82">
        <v>155000</v>
      </c>
      <c r="F35" s="209">
        <v>0.5</v>
      </c>
      <c r="G35" s="105">
        <v>8</v>
      </c>
      <c r="H35" s="82">
        <f>C35*E35*G35*F35</f>
        <v>2480000</v>
      </c>
      <c r="I35" s="53"/>
    </row>
    <row r="36" spans="1:10" ht="15" x14ac:dyDescent="0.25">
      <c r="B36" s="105" t="s">
        <v>110</v>
      </c>
      <c r="C36" s="105"/>
      <c r="D36" s="105"/>
      <c r="E36" s="105"/>
      <c r="F36" s="105"/>
      <c r="G36" s="105"/>
      <c r="H36" s="82" t="s">
        <v>78</v>
      </c>
      <c r="I36" s="380" t="s">
        <v>174</v>
      </c>
      <c r="J36" s="38"/>
    </row>
    <row r="37" spans="1:10" ht="15" x14ac:dyDescent="0.25">
      <c r="B37" s="86" t="s">
        <v>33</v>
      </c>
      <c r="C37" s="87"/>
      <c r="D37" s="87"/>
      <c r="E37" s="87"/>
      <c r="F37" s="88"/>
      <c r="G37" s="88"/>
      <c r="H37" s="115">
        <f>SUM(H16:H36)-H30</f>
        <v>2065964955</v>
      </c>
      <c r="I37" s="381">
        <f>H37/12</f>
        <v>172163746.25</v>
      </c>
      <c r="J37" s="38"/>
    </row>
    <row r="38" spans="1:10" s="102" customFormat="1" ht="15" x14ac:dyDescent="0.25">
      <c r="B38" s="86" t="s">
        <v>218</v>
      </c>
      <c r="C38" s="87"/>
      <c r="D38" s="87"/>
      <c r="E38" s="87"/>
      <c r="F38" s="88"/>
      <c r="G38" s="88"/>
      <c r="H38" s="115">
        <f>SUM(H16:H36)</f>
        <v>10551016954.999998</v>
      </c>
      <c r="I38" s="382"/>
      <c r="J38" s="103"/>
    </row>
    <row r="39" spans="1:10" s="107" customFormat="1" x14ac:dyDescent="0.2">
      <c r="B39" s="135"/>
      <c r="C39" s="135"/>
      <c r="D39" s="135"/>
      <c r="E39" s="135"/>
      <c r="F39" s="135"/>
      <c r="G39" s="135"/>
      <c r="H39" s="135"/>
      <c r="I39" s="136"/>
      <c r="J39" s="136"/>
    </row>
    <row r="40" spans="1:10" s="136" customFormat="1" ht="372.95" customHeight="1" x14ac:dyDescent="0.2">
      <c r="B40" s="164" t="s">
        <v>445</v>
      </c>
      <c r="C40" s="135"/>
      <c r="D40" s="135"/>
      <c r="E40" s="135"/>
      <c r="F40" s="135"/>
      <c r="G40" s="135"/>
      <c r="H40" s="135"/>
    </row>
    <row r="41" spans="1:10" ht="15" x14ac:dyDescent="0.25">
      <c r="B41" s="56"/>
      <c r="C41" s="56"/>
      <c r="D41" s="56"/>
      <c r="E41" s="56"/>
      <c r="F41" s="56"/>
      <c r="G41" s="56"/>
      <c r="H41" s="56"/>
      <c r="I41" s="91"/>
    </row>
    <row r="42" spans="1:10" s="38" customFormat="1" ht="14.45" customHeight="1" x14ac:dyDescent="0.25">
      <c r="A42" s="92"/>
      <c r="B42" s="717" t="str">
        <f>B9</f>
        <v>1.2. Posicionamiento de la oferta del maíz nacional y sus derivados, para  alimentación humana y otros usos.</v>
      </c>
      <c r="C42" s="718"/>
      <c r="D42" s="718"/>
      <c r="E42" s="718"/>
      <c r="F42" s="718"/>
      <c r="G42" s="718"/>
      <c r="H42" s="718"/>
    </row>
    <row r="43" spans="1:10" hidden="1" x14ac:dyDescent="0.2">
      <c r="B43" s="56"/>
      <c r="C43" s="56"/>
      <c r="D43" s="56"/>
      <c r="E43" s="56"/>
      <c r="F43" s="56"/>
      <c r="G43" s="56"/>
      <c r="H43" s="56"/>
    </row>
    <row r="44" spans="1:10" ht="15" x14ac:dyDescent="0.25">
      <c r="B44" s="79" t="s">
        <v>79</v>
      </c>
      <c r="C44" s="79" t="s">
        <v>59</v>
      </c>
      <c r="D44" s="79" t="s">
        <v>56</v>
      </c>
      <c r="E44" s="79" t="s">
        <v>55</v>
      </c>
      <c r="F44" s="79" t="s">
        <v>80</v>
      </c>
      <c r="G44" s="79" t="s">
        <v>81</v>
      </c>
      <c r="H44" s="79" t="s">
        <v>82</v>
      </c>
    </row>
    <row r="45" spans="1:10" s="38" customFormat="1" x14ac:dyDescent="0.2">
      <c r="A45" s="93"/>
      <c r="B45" s="39" t="s">
        <v>83</v>
      </c>
      <c r="C45" s="39">
        <v>6</v>
      </c>
      <c r="D45" s="39" t="s">
        <v>84</v>
      </c>
      <c r="E45" s="45">
        <v>500000</v>
      </c>
      <c r="F45" s="39"/>
      <c r="G45" s="39"/>
      <c r="H45" s="82">
        <f>C45*E45</f>
        <v>3000000</v>
      </c>
      <c r="I45" s="44"/>
      <c r="J45" s="138"/>
    </row>
    <row r="46" spans="1:10" s="38" customFormat="1" x14ac:dyDescent="0.2">
      <c r="B46" s="39" t="s">
        <v>85</v>
      </c>
      <c r="C46" s="39">
        <v>6</v>
      </c>
      <c r="D46" s="39" t="s">
        <v>84</v>
      </c>
      <c r="E46" s="45">
        <v>100000</v>
      </c>
      <c r="F46" s="39"/>
      <c r="G46" s="39"/>
      <c r="H46" s="82">
        <f t="shared" ref="H46:H64" si="7">C46*E46</f>
        <v>600000</v>
      </c>
      <c r="I46" s="44"/>
      <c r="J46" s="138"/>
    </row>
    <row r="47" spans="1:10" s="103" customFormat="1" x14ac:dyDescent="0.2">
      <c r="B47" s="104" t="s">
        <v>164</v>
      </c>
      <c r="C47" s="104">
        <v>1</v>
      </c>
      <c r="D47" s="104" t="s">
        <v>159</v>
      </c>
      <c r="E47" s="45">
        <v>11154675.000000002</v>
      </c>
      <c r="F47" s="104"/>
      <c r="G47" s="104"/>
      <c r="H47" s="82">
        <f t="shared" si="7"/>
        <v>11154675.000000002</v>
      </c>
      <c r="I47" s="44"/>
      <c r="J47" s="138"/>
    </row>
    <row r="48" spans="1:10" s="102" customFormat="1" x14ac:dyDescent="0.2">
      <c r="B48" s="104" t="s">
        <v>216</v>
      </c>
      <c r="C48" s="104">
        <v>2</v>
      </c>
      <c r="D48" s="104" t="s">
        <v>84</v>
      </c>
      <c r="E48" s="45">
        <v>3500000</v>
      </c>
      <c r="F48" s="104"/>
      <c r="G48" s="104"/>
      <c r="H48" s="82">
        <f t="shared" si="7"/>
        <v>7000000</v>
      </c>
      <c r="I48" s="101"/>
      <c r="J48" s="138"/>
    </row>
    <row r="49" spans="1:10" s="102" customFormat="1" x14ac:dyDescent="0.2">
      <c r="B49" s="104" t="s">
        <v>86</v>
      </c>
      <c r="C49" s="104">
        <v>2</v>
      </c>
      <c r="D49" s="104" t="s">
        <v>113</v>
      </c>
      <c r="E49" s="45">
        <v>4227315</v>
      </c>
      <c r="F49" s="104"/>
      <c r="G49" s="104"/>
      <c r="H49" s="82">
        <f t="shared" si="7"/>
        <v>8454630</v>
      </c>
      <c r="I49" s="101"/>
      <c r="J49" s="138"/>
    </row>
    <row r="50" spans="1:10" s="102" customFormat="1" x14ac:dyDescent="0.2">
      <c r="B50" s="104" t="s">
        <v>283</v>
      </c>
      <c r="C50" s="104">
        <v>10</v>
      </c>
      <c r="D50" s="104" t="s">
        <v>425</v>
      </c>
      <c r="E50" s="45">
        <v>8954882.5200000014</v>
      </c>
      <c r="F50" s="104"/>
      <c r="G50" s="104"/>
      <c r="H50" s="82">
        <f t="shared" si="7"/>
        <v>89548825.200000018</v>
      </c>
      <c r="I50" s="101"/>
      <c r="J50" s="138"/>
    </row>
    <row r="51" spans="1:10" s="102" customFormat="1" x14ac:dyDescent="0.2">
      <c r="B51" s="104" t="s">
        <v>284</v>
      </c>
      <c r="C51" s="104">
        <v>5</v>
      </c>
      <c r="D51" s="104" t="s">
        <v>425</v>
      </c>
      <c r="E51" s="45">
        <v>19476574.949999999</v>
      </c>
      <c r="F51" s="104"/>
      <c r="G51" s="104"/>
      <c r="H51" s="82">
        <f t="shared" si="7"/>
        <v>97382874.75</v>
      </c>
      <c r="I51" s="101"/>
      <c r="J51" s="138"/>
    </row>
    <row r="52" spans="1:10" s="38" customFormat="1" x14ac:dyDescent="0.2">
      <c r="A52" s="93"/>
      <c r="B52" s="39" t="s">
        <v>161</v>
      </c>
      <c r="C52" s="41">
        <f>2*10</f>
        <v>20</v>
      </c>
      <c r="D52" s="39" t="s">
        <v>84</v>
      </c>
      <c r="E52" s="45">
        <v>2300000</v>
      </c>
      <c r="F52" s="39"/>
      <c r="G52" s="39"/>
      <c r="H52" s="82">
        <f t="shared" si="7"/>
        <v>46000000</v>
      </c>
      <c r="I52" s="84"/>
      <c r="J52" s="138"/>
    </row>
    <row r="53" spans="1:10" s="38" customFormat="1" x14ac:dyDescent="0.2">
      <c r="A53" s="93"/>
      <c r="B53" s="39" t="s">
        <v>162</v>
      </c>
      <c r="C53" s="41">
        <f>2*10</f>
        <v>20</v>
      </c>
      <c r="D53" s="39" t="s">
        <v>84</v>
      </c>
      <c r="E53" s="45">
        <v>460000</v>
      </c>
      <c r="F53" s="39"/>
      <c r="G53" s="39"/>
      <c r="H53" s="82">
        <f t="shared" si="7"/>
        <v>9200000</v>
      </c>
      <c r="I53" s="85"/>
      <c r="J53" s="138"/>
    </row>
    <row r="54" spans="1:10" s="38" customFormat="1" x14ac:dyDescent="0.2">
      <c r="B54" s="39" t="s">
        <v>163</v>
      </c>
      <c r="C54" s="41">
        <v>8</v>
      </c>
      <c r="D54" s="38" t="s">
        <v>167</v>
      </c>
      <c r="E54" s="45">
        <v>18000000</v>
      </c>
      <c r="F54" s="39"/>
      <c r="G54" s="39"/>
      <c r="H54" s="82">
        <f t="shared" si="7"/>
        <v>144000000</v>
      </c>
      <c r="I54" s="84"/>
      <c r="J54" s="138"/>
    </row>
    <row r="55" spans="1:10" x14ac:dyDescent="0.2">
      <c r="B55" s="48" t="s">
        <v>251</v>
      </c>
      <c r="C55" s="41">
        <v>8</v>
      </c>
      <c r="D55" s="39" t="s">
        <v>76</v>
      </c>
      <c r="E55" s="83">
        <v>52200000</v>
      </c>
      <c r="F55" s="39"/>
      <c r="G55" s="39"/>
      <c r="H55" s="82">
        <f t="shared" si="7"/>
        <v>417600000</v>
      </c>
      <c r="I55" s="44"/>
      <c r="J55" s="53"/>
    </row>
    <row r="56" spans="1:10" s="102" customFormat="1" x14ac:dyDescent="0.2">
      <c r="B56" s="48" t="s">
        <v>281</v>
      </c>
      <c r="C56" s="105">
        <v>8</v>
      </c>
      <c r="D56" s="39" t="s">
        <v>166</v>
      </c>
      <c r="E56" s="109">
        <v>20000000</v>
      </c>
      <c r="F56" s="104"/>
      <c r="G56" s="104"/>
      <c r="H56" s="82">
        <f t="shared" si="7"/>
        <v>160000000</v>
      </c>
      <c r="I56" s="44"/>
      <c r="J56" s="53"/>
    </row>
    <row r="57" spans="1:10" x14ac:dyDescent="0.2">
      <c r="B57" s="39" t="s">
        <v>168</v>
      </c>
      <c r="C57" s="39">
        <v>4</v>
      </c>
      <c r="D57" s="39" t="s">
        <v>425</v>
      </c>
      <c r="E57" s="83">
        <v>43000000</v>
      </c>
      <c r="F57" s="94"/>
      <c r="G57" s="39"/>
      <c r="H57" s="82">
        <f t="shared" si="7"/>
        <v>172000000</v>
      </c>
      <c r="I57" s="44"/>
      <c r="J57" s="53"/>
    </row>
    <row r="58" spans="1:10" s="102" customFormat="1" x14ac:dyDescent="0.2">
      <c r="B58" s="104" t="s">
        <v>93</v>
      </c>
      <c r="C58" s="104">
        <v>1</v>
      </c>
      <c r="D58" s="104" t="s">
        <v>84</v>
      </c>
      <c r="E58" s="109">
        <v>217000000</v>
      </c>
      <c r="F58" s="94"/>
      <c r="G58" s="104"/>
      <c r="H58" s="82">
        <f t="shared" si="7"/>
        <v>217000000</v>
      </c>
      <c r="I58" s="44"/>
      <c r="J58" s="53"/>
    </row>
    <row r="59" spans="1:10" s="102" customFormat="1" x14ac:dyDescent="0.2">
      <c r="B59" s="104" t="s">
        <v>169</v>
      </c>
      <c r="C59" s="104">
        <v>4</v>
      </c>
      <c r="D59" s="104" t="s">
        <v>84</v>
      </c>
      <c r="E59" s="109">
        <v>125500000</v>
      </c>
      <c r="F59" s="94"/>
      <c r="G59" s="104"/>
      <c r="H59" s="82">
        <f t="shared" si="7"/>
        <v>502000000</v>
      </c>
      <c r="I59" s="44"/>
      <c r="J59" s="53"/>
    </row>
    <row r="60" spans="1:10" x14ac:dyDescent="0.2">
      <c r="B60" s="96" t="s">
        <v>92</v>
      </c>
      <c r="C60" s="39">
        <f>4*2</f>
        <v>8</v>
      </c>
      <c r="D60" s="39" t="s">
        <v>84</v>
      </c>
      <c r="E60" s="83">
        <v>1500000</v>
      </c>
      <c r="F60" s="97"/>
      <c r="G60" s="39"/>
      <c r="H60" s="82">
        <f t="shared" si="7"/>
        <v>12000000</v>
      </c>
      <c r="I60" s="44"/>
      <c r="J60" s="53"/>
    </row>
    <row r="61" spans="1:10" x14ac:dyDescent="0.2">
      <c r="B61" s="96" t="s">
        <v>62</v>
      </c>
      <c r="C61" s="39">
        <v>2</v>
      </c>
      <c r="D61" s="39" t="s">
        <v>84</v>
      </c>
      <c r="E61" s="83">
        <v>5000000</v>
      </c>
      <c r="F61" s="97"/>
      <c r="G61" s="39"/>
      <c r="H61" s="82">
        <f t="shared" si="7"/>
        <v>10000000</v>
      </c>
      <c r="I61" s="44"/>
      <c r="J61" s="53"/>
    </row>
    <row r="62" spans="1:10" x14ac:dyDescent="0.2">
      <c r="B62" s="96" t="s">
        <v>170</v>
      </c>
      <c r="C62" s="39">
        <f>2*10</f>
        <v>20</v>
      </c>
      <c r="D62" s="39" t="s">
        <v>84</v>
      </c>
      <c r="E62" s="83">
        <v>14500000</v>
      </c>
      <c r="F62" s="97"/>
      <c r="G62" s="39"/>
      <c r="H62" s="82">
        <f t="shared" si="7"/>
        <v>290000000</v>
      </c>
      <c r="I62" s="44"/>
      <c r="J62" s="53"/>
    </row>
    <row r="63" spans="1:10" x14ac:dyDescent="0.2">
      <c r="B63" s="57" t="s">
        <v>171</v>
      </c>
      <c r="C63" s="39">
        <f>2*4</f>
        <v>8</v>
      </c>
      <c r="D63" s="39" t="s">
        <v>76</v>
      </c>
      <c r="E63" s="83">
        <v>6000000</v>
      </c>
      <c r="F63" s="98"/>
      <c r="G63" s="39"/>
      <c r="H63" s="82">
        <f t="shared" si="7"/>
        <v>48000000</v>
      </c>
      <c r="I63" s="44"/>
      <c r="J63" s="53"/>
    </row>
    <row r="64" spans="1:10" x14ac:dyDescent="0.2">
      <c r="B64" s="57" t="s">
        <v>88</v>
      </c>
      <c r="C64" s="39">
        <f>2*4</f>
        <v>8</v>
      </c>
      <c r="D64" s="39" t="s">
        <v>76</v>
      </c>
      <c r="E64" s="83">
        <v>1800000</v>
      </c>
      <c r="F64" s="98"/>
      <c r="G64" s="39"/>
      <c r="H64" s="95">
        <f t="shared" si="7"/>
        <v>14400000</v>
      </c>
      <c r="I64" s="44"/>
      <c r="J64" s="53"/>
    </row>
    <row r="65" spans="2:10" x14ac:dyDescent="0.2">
      <c r="B65" s="39" t="s">
        <v>90</v>
      </c>
      <c r="C65" s="39">
        <v>5</v>
      </c>
      <c r="D65" s="39" t="s">
        <v>160</v>
      </c>
      <c r="E65" s="45">
        <v>7862772</v>
      </c>
      <c r="F65" s="98">
        <v>0.5</v>
      </c>
      <c r="G65" s="39">
        <v>12</v>
      </c>
      <c r="H65" s="43">
        <f>C65*E65*G65*F65</f>
        <v>235883160</v>
      </c>
      <c r="I65" s="44"/>
      <c r="J65" s="53"/>
    </row>
    <row r="66" spans="2:10" x14ac:dyDescent="0.2">
      <c r="B66" s="39" t="s">
        <v>91</v>
      </c>
      <c r="C66" s="39">
        <v>8</v>
      </c>
      <c r="D66" s="39" t="s">
        <v>172</v>
      </c>
      <c r="E66" s="45">
        <v>1313122</v>
      </c>
      <c r="F66" s="39"/>
      <c r="G66" s="39"/>
      <c r="H66" s="43">
        <f>C66*E66</f>
        <v>10504976</v>
      </c>
      <c r="I66" s="44"/>
      <c r="J66" s="53"/>
    </row>
    <row r="67" spans="2:10" s="102" customFormat="1" x14ac:dyDescent="0.2">
      <c r="B67" s="104" t="s">
        <v>173</v>
      </c>
      <c r="C67" s="104">
        <v>7</v>
      </c>
      <c r="D67" s="104" t="s">
        <v>160</v>
      </c>
      <c r="E67" s="45">
        <v>3931384</v>
      </c>
      <c r="F67" s="98">
        <v>0.5</v>
      </c>
      <c r="G67" s="104">
        <v>8</v>
      </c>
      <c r="H67" s="43">
        <f>C67*E67*G67*F67</f>
        <v>110078752</v>
      </c>
      <c r="I67" s="44"/>
      <c r="J67" s="53"/>
    </row>
    <row r="68" spans="2:10" s="102" customFormat="1" x14ac:dyDescent="0.2">
      <c r="B68" s="104" t="s">
        <v>57</v>
      </c>
      <c r="C68" s="104">
        <v>7</v>
      </c>
      <c r="D68" s="104" t="s">
        <v>57</v>
      </c>
      <c r="E68" s="45">
        <v>1300000</v>
      </c>
      <c r="F68" s="98">
        <v>0.5</v>
      </c>
      <c r="G68" s="104">
        <v>8</v>
      </c>
      <c r="H68" s="43">
        <f>C68*E68*G68*F68</f>
        <v>36400000</v>
      </c>
      <c r="I68" s="44"/>
    </row>
    <row r="69" spans="2:10" s="102" customFormat="1" x14ac:dyDescent="0.2">
      <c r="B69" s="104" t="s">
        <v>194</v>
      </c>
      <c r="C69" s="104">
        <v>7</v>
      </c>
      <c r="D69" s="104" t="s">
        <v>57</v>
      </c>
      <c r="E69" s="45">
        <v>155000</v>
      </c>
      <c r="F69" s="98">
        <v>0.5</v>
      </c>
      <c r="G69" s="104">
        <v>8</v>
      </c>
      <c r="H69" s="43">
        <f>C69*E69*G69*F69</f>
        <v>4340000</v>
      </c>
      <c r="I69" s="44"/>
    </row>
    <row r="70" spans="2:10" ht="15" x14ac:dyDescent="0.25">
      <c r="B70" s="39" t="s">
        <v>95</v>
      </c>
      <c r="C70" s="39"/>
      <c r="D70" s="39"/>
      <c r="E70" s="39"/>
      <c r="F70" s="39"/>
      <c r="G70" s="39"/>
      <c r="H70" s="41"/>
      <c r="I70" s="99" t="s">
        <v>174</v>
      </c>
    </row>
    <row r="71" spans="2:10" ht="15" x14ac:dyDescent="0.25">
      <c r="B71" s="86" t="s">
        <v>96</v>
      </c>
      <c r="C71" s="87"/>
      <c r="D71" s="87"/>
      <c r="E71" s="88"/>
      <c r="F71" s="88"/>
      <c r="G71" s="87"/>
      <c r="H71" s="99">
        <f>SUM(H45:H70)</f>
        <v>2656547892.9499998</v>
      </c>
      <c r="I71" s="99">
        <f>H71/12</f>
        <v>221378991.07916665</v>
      </c>
    </row>
    <row r="72" spans="2:10" s="38" customFormat="1" ht="260.45" hidden="1" customHeight="1" x14ac:dyDescent="0.25">
      <c r="B72" s="100" t="s">
        <v>97</v>
      </c>
      <c r="C72" s="56"/>
      <c r="D72" s="56"/>
      <c r="E72" s="56"/>
      <c r="F72" s="56"/>
      <c r="G72" s="56"/>
      <c r="H72" s="99">
        <f t="shared" ref="H72" si="8">SUM(H46:H71)</f>
        <v>5310095785.8999996</v>
      </c>
      <c r="J72" s="37"/>
    </row>
    <row r="73" spans="2:10" ht="391.5" customHeight="1" x14ac:dyDescent="0.2">
      <c r="B73" s="218" t="s">
        <v>426</v>
      </c>
      <c r="C73" s="38"/>
      <c r="D73" s="38"/>
      <c r="E73" s="38"/>
      <c r="F73" s="78"/>
      <c r="G73" s="78"/>
      <c r="H73" s="102"/>
    </row>
    <row r="74" spans="2:10" x14ac:dyDescent="0.2">
      <c r="B74" s="38"/>
      <c r="C74" s="38"/>
      <c r="D74" s="38"/>
      <c r="E74" s="38"/>
      <c r="F74" s="38"/>
      <c r="G74" s="38"/>
    </row>
  </sheetData>
  <sheetProtection algorithmName="SHA-512" hashValue="EMLNyT30MA9n+lZoZGZBjWvvSArHIcpBmRFwINMvxOcveV7gMGYoEmGUIufY3yUQZkiam9opHfVKslaUkx5vxQ==" saltValue="BLaooPhKg7a9D7pvvCUG6Q==" spinCount="100000" sheet="1" objects="1" scenarios="1"/>
  <mergeCells count="2">
    <mergeCell ref="B13:H14"/>
    <mergeCell ref="B42:H4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0"/>
  <sheetViews>
    <sheetView showGridLines="0" zoomScale="60" zoomScaleNormal="60" workbookViewId="0">
      <selection activeCell="H35" sqref="H35"/>
    </sheetView>
  </sheetViews>
  <sheetFormatPr baseColWidth="10" defaultColWidth="10.7109375" defaultRowHeight="14.25" x14ac:dyDescent="0.2"/>
  <cols>
    <col min="1" max="1" width="17.42578125" style="102" customWidth="1"/>
    <col min="2" max="2" width="109.7109375" style="102" customWidth="1"/>
    <col min="3" max="3" width="26.42578125" style="102" customWidth="1"/>
    <col min="4" max="4" width="27.140625" style="102" customWidth="1"/>
    <col min="5" max="5" width="22.42578125" style="102" customWidth="1"/>
    <col min="6" max="6" width="21.42578125" style="102" bestFit="1" customWidth="1"/>
    <col min="7" max="7" width="26.28515625" style="102" customWidth="1"/>
    <col min="8" max="8" width="21.42578125" style="102" customWidth="1"/>
    <col min="9" max="9" width="21.7109375" style="102" customWidth="1"/>
    <col min="10" max="10" width="19.7109375" style="102" bestFit="1" customWidth="1"/>
    <col min="11" max="11" width="21.42578125" style="102" bestFit="1" customWidth="1"/>
    <col min="12" max="12" width="22.42578125" style="102" customWidth="1"/>
    <col min="13" max="22" width="19.7109375" style="102" bestFit="1" customWidth="1"/>
    <col min="23" max="23" width="20.42578125" style="102" bestFit="1" customWidth="1"/>
    <col min="24" max="24" width="25.42578125" style="102" customWidth="1"/>
    <col min="25" max="25" width="22.28515625" style="102" bestFit="1" customWidth="1"/>
    <col min="26" max="26" width="19.140625" style="102" bestFit="1" customWidth="1"/>
    <col min="27" max="27" width="17" style="102" bestFit="1" customWidth="1"/>
    <col min="28" max="28" width="17.85546875" style="102" customWidth="1"/>
    <col min="29" max="16384" width="10.7109375" style="102"/>
  </cols>
  <sheetData>
    <row r="2" spans="1:26" ht="15" x14ac:dyDescent="0.25">
      <c r="A2" s="58" t="s">
        <v>98</v>
      </c>
    </row>
    <row r="3" spans="1:26" s="103" customFormat="1" ht="15" x14ac:dyDescent="0.25">
      <c r="A3" s="50"/>
    </row>
    <row r="4" spans="1:26" ht="21.75" customHeight="1" x14ac:dyDescent="0.25">
      <c r="A4" s="59"/>
      <c r="B4" s="60" t="str">
        <f>'PPP_V3_y Costos'!C4</f>
        <v>2. Mejoramiento productivo del cultivo de maíz.</v>
      </c>
      <c r="C4" s="61"/>
      <c r="D4" s="62"/>
    </row>
    <row r="5" spans="1:26" ht="26.25" customHeight="1" x14ac:dyDescent="0.2"/>
    <row r="6" spans="1:26" ht="15" x14ac:dyDescent="0.25">
      <c r="E6" s="63">
        <v>1</v>
      </c>
      <c r="F6" s="63">
        <v>2</v>
      </c>
      <c r="G6" s="63">
        <v>3</v>
      </c>
      <c r="H6" s="63">
        <v>4</v>
      </c>
      <c r="I6" s="63">
        <v>5</v>
      </c>
      <c r="J6" s="63">
        <v>6</v>
      </c>
      <c r="K6" s="63">
        <v>7</v>
      </c>
      <c r="L6" s="63">
        <v>8</v>
      </c>
      <c r="M6" s="63">
        <v>9</v>
      </c>
      <c r="N6" s="63">
        <v>10</v>
      </c>
      <c r="O6" s="63">
        <v>11</v>
      </c>
      <c r="P6" s="63">
        <v>12</v>
      </c>
      <c r="Q6" s="63">
        <v>13</v>
      </c>
      <c r="R6" s="63">
        <v>14</v>
      </c>
      <c r="S6" s="63">
        <v>15</v>
      </c>
      <c r="T6" s="63">
        <v>16</v>
      </c>
      <c r="U6" s="63">
        <v>17</v>
      </c>
      <c r="V6" s="63">
        <v>18</v>
      </c>
      <c r="W6" s="63">
        <v>19</v>
      </c>
      <c r="X6" s="63">
        <v>20</v>
      </c>
      <c r="Y6" s="63" t="s">
        <v>33</v>
      </c>
    </row>
    <row r="7" spans="1:26" s="40" customFormat="1" ht="15" x14ac:dyDescent="0.25">
      <c r="A7" s="102"/>
      <c r="B7" s="64" t="s">
        <v>29</v>
      </c>
      <c r="C7" s="65" t="s">
        <v>77</v>
      </c>
      <c r="D7" s="65" t="s">
        <v>176</v>
      </c>
      <c r="E7" s="66">
        <f>E8+E9</f>
        <v>1223007694</v>
      </c>
      <c r="F7" s="66">
        <f t="shared" ref="F7:X7" si="0">F8+F9</f>
        <v>78399694040</v>
      </c>
      <c r="G7" s="66">
        <f t="shared" si="0"/>
        <v>78399694040</v>
      </c>
      <c r="H7" s="66">
        <f t="shared" si="0"/>
        <v>78399694040</v>
      </c>
      <c r="I7" s="66">
        <f t="shared" si="0"/>
        <v>78399694040</v>
      </c>
      <c r="J7" s="66">
        <f t="shared" si="0"/>
        <v>76239054248</v>
      </c>
      <c r="K7" s="66">
        <f t="shared" si="0"/>
        <v>76239054248</v>
      </c>
      <c r="L7" s="66">
        <f t="shared" si="0"/>
        <v>76239054248</v>
      </c>
      <c r="M7" s="66">
        <f t="shared" si="0"/>
        <v>76239054248</v>
      </c>
      <c r="N7" s="66">
        <f t="shared" si="0"/>
        <v>76239054248</v>
      </c>
      <c r="O7" s="66">
        <f t="shared" si="0"/>
        <v>76239054248</v>
      </c>
      <c r="P7" s="66">
        <f t="shared" si="0"/>
        <v>27946085498</v>
      </c>
      <c r="Q7" s="66">
        <f t="shared" si="0"/>
        <v>27946085498</v>
      </c>
      <c r="R7" s="66">
        <f t="shared" si="0"/>
        <v>27946085498</v>
      </c>
      <c r="S7" s="66">
        <f t="shared" si="0"/>
        <v>27946085498</v>
      </c>
      <c r="T7" s="66">
        <f t="shared" si="0"/>
        <v>27946085498</v>
      </c>
      <c r="U7" s="66">
        <f t="shared" si="0"/>
        <v>27946085498</v>
      </c>
      <c r="V7" s="66">
        <f t="shared" si="0"/>
        <v>27946085498</v>
      </c>
      <c r="W7" s="66">
        <f t="shared" si="0"/>
        <v>27946085498</v>
      </c>
      <c r="X7" s="66">
        <f t="shared" si="0"/>
        <v>27946085498</v>
      </c>
      <c r="Y7" s="66">
        <f>SUM(E7:X7)</f>
        <v>1023770878824</v>
      </c>
    </row>
    <row r="8" spans="1:26" s="71" customFormat="1" x14ac:dyDescent="0.2">
      <c r="A8" s="68"/>
      <c r="B8" s="69" t="str">
        <f>'PPP_V3_y Costos'!D4</f>
        <v>2.1. Implementación efectiva de la asistencia técnica en sistemas tecnificados de maíz.</v>
      </c>
      <c r="C8" s="114" t="s">
        <v>235</v>
      </c>
      <c r="D8" s="114" t="s">
        <v>177</v>
      </c>
      <c r="E8" s="70">
        <f>I42*3</f>
        <v>937600168</v>
      </c>
      <c r="F8" s="70">
        <f>H43</f>
        <v>78019150672</v>
      </c>
      <c r="G8" s="70">
        <f t="shared" ref="G8:I9" si="1">F8</f>
        <v>78019150672</v>
      </c>
      <c r="H8" s="70">
        <f t="shared" si="1"/>
        <v>78019150672</v>
      </c>
      <c r="I8" s="70">
        <f t="shared" si="1"/>
        <v>78019150672</v>
      </c>
      <c r="J8" s="70">
        <f>H44</f>
        <v>75858510880</v>
      </c>
      <c r="K8" s="70">
        <f t="shared" ref="K8:O9" si="2">J8</f>
        <v>75858510880</v>
      </c>
      <c r="L8" s="70">
        <f t="shared" si="2"/>
        <v>75858510880</v>
      </c>
      <c r="M8" s="70">
        <f t="shared" si="2"/>
        <v>75858510880</v>
      </c>
      <c r="N8" s="70">
        <f t="shared" si="2"/>
        <v>75858510880</v>
      </c>
      <c r="O8" s="70">
        <f t="shared" si="2"/>
        <v>75858510880</v>
      </c>
      <c r="P8" s="70">
        <f>H45</f>
        <v>27565542130</v>
      </c>
      <c r="Q8" s="70">
        <f>P8</f>
        <v>27565542130</v>
      </c>
      <c r="R8" s="70">
        <f>Q8</f>
        <v>27565542130</v>
      </c>
      <c r="S8" s="70">
        <f>R8</f>
        <v>27565542130</v>
      </c>
      <c r="T8" s="70">
        <f t="shared" ref="T8:X8" si="3">S8</f>
        <v>27565542130</v>
      </c>
      <c r="U8" s="70">
        <f t="shared" si="3"/>
        <v>27565542130</v>
      </c>
      <c r="V8" s="70">
        <f t="shared" si="3"/>
        <v>27565542130</v>
      </c>
      <c r="W8" s="70">
        <f t="shared" si="3"/>
        <v>27565542130</v>
      </c>
      <c r="X8" s="70">
        <f t="shared" si="3"/>
        <v>27565542130</v>
      </c>
      <c r="Y8" s="70">
        <f>SUM(E8:X8)</f>
        <v>1016255147306</v>
      </c>
    </row>
    <row r="9" spans="1:26" s="71" customFormat="1" x14ac:dyDescent="0.2">
      <c r="A9" s="68"/>
      <c r="B9" s="69" t="str">
        <f>'PPP_V3_y Costos'!D5</f>
        <v xml:space="preserve">2.2. Impulso a la producción de maíz a mediana y gran escala.  </v>
      </c>
      <c r="C9" s="114" t="s">
        <v>406</v>
      </c>
      <c r="D9" s="114" t="s">
        <v>177</v>
      </c>
      <c r="E9" s="70">
        <f>I58*9</f>
        <v>285407526</v>
      </c>
      <c r="F9" s="70">
        <f>H58</f>
        <v>380543368</v>
      </c>
      <c r="G9" s="70">
        <f t="shared" si="1"/>
        <v>380543368</v>
      </c>
      <c r="H9" s="70">
        <f t="shared" si="1"/>
        <v>380543368</v>
      </c>
      <c r="I9" s="70">
        <f t="shared" si="1"/>
        <v>380543368</v>
      </c>
      <c r="J9" s="70">
        <f>I9</f>
        <v>380543368</v>
      </c>
      <c r="K9" s="70">
        <f t="shared" si="2"/>
        <v>380543368</v>
      </c>
      <c r="L9" s="70">
        <f t="shared" si="2"/>
        <v>380543368</v>
      </c>
      <c r="M9" s="70">
        <f t="shared" si="2"/>
        <v>380543368</v>
      </c>
      <c r="N9" s="70">
        <f t="shared" si="2"/>
        <v>380543368</v>
      </c>
      <c r="O9" s="70">
        <f t="shared" si="2"/>
        <v>380543368</v>
      </c>
      <c r="P9" s="70">
        <f t="shared" ref="P9:X9" si="4">O9</f>
        <v>380543368</v>
      </c>
      <c r="Q9" s="70">
        <f t="shared" si="4"/>
        <v>380543368</v>
      </c>
      <c r="R9" s="70">
        <f t="shared" si="4"/>
        <v>380543368</v>
      </c>
      <c r="S9" s="70">
        <f t="shared" si="4"/>
        <v>380543368</v>
      </c>
      <c r="T9" s="70">
        <f t="shared" si="4"/>
        <v>380543368</v>
      </c>
      <c r="U9" s="70">
        <f t="shared" si="4"/>
        <v>380543368</v>
      </c>
      <c r="V9" s="70">
        <f t="shared" si="4"/>
        <v>380543368</v>
      </c>
      <c r="W9" s="70">
        <f t="shared" si="4"/>
        <v>380543368</v>
      </c>
      <c r="X9" s="70">
        <f t="shared" si="4"/>
        <v>380543368</v>
      </c>
      <c r="Y9" s="70">
        <f>SUM(E9:X9)</f>
        <v>7515731518</v>
      </c>
    </row>
    <row r="10" spans="1:26" s="40" customFormat="1" ht="24.75" customHeight="1" x14ac:dyDescent="0.25">
      <c r="A10" s="102"/>
      <c r="B10" s="64" t="s">
        <v>33</v>
      </c>
      <c r="C10" s="64"/>
      <c r="D10" s="64"/>
      <c r="E10" s="72">
        <f>SUM(E8:E9)</f>
        <v>1223007694</v>
      </c>
      <c r="F10" s="72">
        <f t="shared" ref="F10:Y10" si="5">SUM(F8:F9)</f>
        <v>78399694040</v>
      </c>
      <c r="G10" s="72">
        <f t="shared" si="5"/>
        <v>78399694040</v>
      </c>
      <c r="H10" s="72">
        <f t="shared" si="5"/>
        <v>78399694040</v>
      </c>
      <c r="I10" s="72">
        <f t="shared" si="5"/>
        <v>78399694040</v>
      </c>
      <c r="J10" s="72">
        <f t="shared" si="5"/>
        <v>76239054248</v>
      </c>
      <c r="K10" s="72">
        <f t="shared" si="5"/>
        <v>76239054248</v>
      </c>
      <c r="L10" s="72">
        <f t="shared" si="5"/>
        <v>76239054248</v>
      </c>
      <c r="M10" s="72">
        <f t="shared" si="5"/>
        <v>76239054248</v>
      </c>
      <c r="N10" s="72">
        <f t="shared" si="5"/>
        <v>76239054248</v>
      </c>
      <c r="O10" s="72">
        <f t="shared" si="5"/>
        <v>76239054248</v>
      </c>
      <c r="P10" s="72">
        <f t="shared" si="5"/>
        <v>27946085498</v>
      </c>
      <c r="Q10" s="72">
        <f t="shared" si="5"/>
        <v>27946085498</v>
      </c>
      <c r="R10" s="72">
        <f t="shared" si="5"/>
        <v>27946085498</v>
      </c>
      <c r="S10" s="72">
        <f t="shared" si="5"/>
        <v>27946085498</v>
      </c>
      <c r="T10" s="72">
        <f t="shared" si="5"/>
        <v>27946085498</v>
      </c>
      <c r="U10" s="72">
        <f t="shared" si="5"/>
        <v>27946085498</v>
      </c>
      <c r="V10" s="72">
        <f t="shared" si="5"/>
        <v>27946085498</v>
      </c>
      <c r="W10" s="72">
        <f t="shared" si="5"/>
        <v>27946085498</v>
      </c>
      <c r="X10" s="72">
        <f t="shared" si="5"/>
        <v>27946085498</v>
      </c>
      <c r="Y10" s="72">
        <f t="shared" si="5"/>
        <v>1023770878824</v>
      </c>
    </row>
    <row r="11" spans="1:26" s="76" customFormat="1" ht="24.75" customHeight="1" x14ac:dyDescent="0.25">
      <c r="A11" s="103"/>
      <c r="B11" s="73"/>
      <c r="C11" s="73"/>
      <c r="D11" s="73"/>
      <c r="E11" s="73"/>
      <c r="F11" s="74"/>
      <c r="G11" s="75"/>
      <c r="H11" s="74"/>
      <c r="I11" s="74"/>
      <c r="J11" s="74"/>
      <c r="K11" s="74"/>
      <c r="L11" s="74"/>
      <c r="M11" s="74"/>
      <c r="N11" s="74"/>
      <c r="O11" s="74"/>
      <c r="P11" s="74"/>
      <c r="Q11" s="74"/>
      <c r="R11" s="74"/>
      <c r="S11" s="74"/>
      <c r="T11" s="74"/>
      <c r="U11" s="74"/>
      <c r="V11" s="74"/>
      <c r="W11" s="74"/>
      <c r="X11" s="74"/>
      <c r="Y11" s="74"/>
      <c r="Z11" s="74"/>
    </row>
    <row r="13" spans="1:26" s="103" customFormat="1" ht="14.45" customHeight="1" x14ac:dyDescent="0.25">
      <c r="B13" s="717" t="str">
        <f>B8</f>
        <v>2.1. Implementación efectiva de la asistencia técnica en sistemas tecnificados de maíz.</v>
      </c>
      <c r="C13" s="718"/>
      <c r="D13" s="718"/>
      <c r="E13" s="718"/>
      <c r="F13" s="718"/>
      <c r="G13" s="718"/>
      <c r="H13" s="718"/>
      <c r="I13" s="316"/>
      <c r="X13" s="78"/>
    </row>
    <row r="14" spans="1:26" s="103" customFormat="1" ht="14.45" customHeight="1" x14ac:dyDescent="0.25">
      <c r="B14" s="719"/>
      <c r="C14" s="719"/>
      <c r="D14" s="719"/>
      <c r="E14" s="719"/>
      <c r="F14" s="719"/>
      <c r="G14" s="719"/>
      <c r="H14" s="719"/>
      <c r="I14" s="316"/>
      <c r="X14" s="78"/>
    </row>
    <row r="15" spans="1:26" ht="15" x14ac:dyDescent="0.25">
      <c r="B15" s="79" t="s">
        <v>79</v>
      </c>
      <c r="C15" s="79" t="s">
        <v>59</v>
      </c>
      <c r="D15" s="79" t="s">
        <v>56</v>
      </c>
      <c r="E15" s="79" t="s">
        <v>55</v>
      </c>
      <c r="F15" s="80" t="s">
        <v>108</v>
      </c>
      <c r="G15" s="79" t="s">
        <v>239</v>
      </c>
      <c r="H15" s="79" t="s">
        <v>82</v>
      </c>
      <c r="X15" s="81"/>
    </row>
    <row r="16" spans="1:26" x14ac:dyDescent="0.2">
      <c r="B16" s="104" t="s">
        <v>83</v>
      </c>
      <c r="C16" s="104">
        <v>20</v>
      </c>
      <c r="D16" s="104" t="s">
        <v>84</v>
      </c>
      <c r="E16" s="45">
        <v>500000</v>
      </c>
      <c r="F16" s="104"/>
      <c r="G16" s="104"/>
      <c r="H16" s="140">
        <f>C16*E16</f>
        <v>10000000</v>
      </c>
    </row>
    <row r="17" spans="2:9" x14ac:dyDescent="0.2">
      <c r="B17" s="105" t="s">
        <v>85</v>
      </c>
      <c r="C17" s="105">
        <v>20</v>
      </c>
      <c r="D17" s="105" t="s">
        <v>84</v>
      </c>
      <c r="E17" s="82">
        <v>100000</v>
      </c>
      <c r="F17" s="105"/>
      <c r="G17" s="105"/>
      <c r="H17" s="140">
        <f t="shared" ref="H17:H21" si="6">C17*E17</f>
        <v>2000000</v>
      </c>
    </row>
    <row r="18" spans="2:9" x14ac:dyDescent="0.2">
      <c r="B18" s="105" t="s">
        <v>102</v>
      </c>
      <c r="C18" s="105">
        <v>30</v>
      </c>
      <c r="D18" s="105" t="s">
        <v>84</v>
      </c>
      <c r="E18" s="82">
        <v>2300000</v>
      </c>
      <c r="F18" s="105"/>
      <c r="G18" s="105"/>
      <c r="H18" s="140">
        <f t="shared" si="6"/>
        <v>69000000</v>
      </c>
    </row>
    <row r="19" spans="2:9" x14ac:dyDescent="0.2">
      <c r="B19" s="105" t="s">
        <v>103</v>
      </c>
      <c r="C19" s="105">
        <v>30</v>
      </c>
      <c r="D19" s="105" t="s">
        <v>84</v>
      </c>
      <c r="E19" s="82">
        <v>460000</v>
      </c>
      <c r="F19" s="105"/>
      <c r="G19" s="105"/>
      <c r="H19" s="140">
        <f t="shared" si="6"/>
        <v>13800000</v>
      </c>
    </row>
    <row r="20" spans="2:9" ht="15.75" customHeight="1" x14ac:dyDescent="0.2">
      <c r="B20" s="105" t="s">
        <v>87</v>
      </c>
      <c r="C20" s="105">
        <v>10</v>
      </c>
      <c r="D20" s="105" t="s">
        <v>76</v>
      </c>
      <c r="E20" s="95">
        <v>6000000</v>
      </c>
      <c r="F20" s="105"/>
      <c r="G20" s="105"/>
      <c r="H20" s="140">
        <f t="shared" si="6"/>
        <v>60000000</v>
      </c>
    </row>
    <row r="21" spans="2:9" x14ac:dyDescent="0.2">
      <c r="B21" s="105" t="s">
        <v>88</v>
      </c>
      <c r="C21" s="105">
        <v>10</v>
      </c>
      <c r="D21" s="105" t="s">
        <v>76</v>
      </c>
      <c r="E21" s="95">
        <v>1800000</v>
      </c>
      <c r="F21" s="105"/>
      <c r="G21" s="105"/>
      <c r="H21" s="140">
        <f t="shared" si="6"/>
        <v>18000000</v>
      </c>
    </row>
    <row r="22" spans="2:9" x14ac:dyDescent="0.2">
      <c r="B22" s="105" t="s">
        <v>178</v>
      </c>
      <c r="C22" s="105">
        <v>10</v>
      </c>
      <c r="D22" s="105" t="s">
        <v>84</v>
      </c>
      <c r="E22" s="95">
        <v>1500000</v>
      </c>
      <c r="F22" s="209">
        <v>0.5</v>
      </c>
      <c r="G22" s="105"/>
      <c r="H22" s="140">
        <f>C22*E22*F22</f>
        <v>7500000</v>
      </c>
    </row>
    <row r="23" spans="2:9" x14ac:dyDescent="0.2">
      <c r="B23" s="105" t="s">
        <v>89</v>
      </c>
      <c r="C23" s="105">
        <v>10</v>
      </c>
      <c r="D23" s="105" t="s">
        <v>84</v>
      </c>
      <c r="E23" s="95">
        <v>450000</v>
      </c>
      <c r="F23" s="209">
        <v>0.5</v>
      </c>
      <c r="G23" s="105"/>
      <c r="H23" s="140">
        <f>C23*E23*F23</f>
        <v>2250000</v>
      </c>
    </row>
    <row r="24" spans="2:9" x14ac:dyDescent="0.2">
      <c r="B24" s="105" t="s">
        <v>165</v>
      </c>
      <c r="C24" s="105">
        <v>8</v>
      </c>
      <c r="D24" s="105" t="s">
        <v>106</v>
      </c>
      <c r="E24" s="82">
        <v>52200000</v>
      </c>
      <c r="F24" s="105"/>
      <c r="G24" s="105"/>
      <c r="H24" s="140">
        <f>C24*E24</f>
        <v>417600000</v>
      </c>
    </row>
    <row r="25" spans="2:9" x14ac:dyDescent="0.2">
      <c r="B25" s="105" t="s">
        <v>223</v>
      </c>
      <c r="C25" s="105">
        <v>8</v>
      </c>
      <c r="D25" s="105" t="s">
        <v>111</v>
      </c>
      <c r="E25" s="82">
        <v>20000000</v>
      </c>
      <c r="F25" s="105"/>
      <c r="G25" s="105"/>
      <c r="H25" s="140">
        <f t="shared" ref="H25:H31" si="7">C25*E25</f>
        <v>160000000</v>
      </c>
    </row>
    <row r="26" spans="2:9" x14ac:dyDescent="0.2">
      <c r="B26" s="105" t="s">
        <v>105</v>
      </c>
      <c r="C26" s="105">
        <v>8</v>
      </c>
      <c r="D26" s="105" t="s">
        <v>231</v>
      </c>
      <c r="E26" s="82">
        <v>18000000</v>
      </c>
      <c r="F26" s="105"/>
      <c r="G26" s="105"/>
      <c r="H26" s="140">
        <f t="shared" si="7"/>
        <v>144000000</v>
      </c>
    </row>
    <row r="27" spans="2:9" x14ac:dyDescent="0.2">
      <c r="B27" s="105" t="s">
        <v>224</v>
      </c>
      <c r="C27" s="105">
        <v>10</v>
      </c>
      <c r="D27" s="105" t="s">
        <v>225</v>
      </c>
      <c r="E27" s="82">
        <v>3270000</v>
      </c>
      <c r="F27" s="105"/>
      <c r="G27" s="105"/>
      <c r="H27" s="140">
        <f t="shared" si="7"/>
        <v>32700000</v>
      </c>
    </row>
    <row r="28" spans="2:9" x14ac:dyDescent="0.2">
      <c r="B28" s="105" t="s">
        <v>188</v>
      </c>
      <c r="C28" s="105">
        <v>10</v>
      </c>
      <c r="D28" s="105" t="s">
        <v>84</v>
      </c>
      <c r="E28" s="82">
        <v>14500000</v>
      </c>
      <c r="F28" s="105"/>
      <c r="G28" s="105"/>
      <c r="H28" s="140">
        <f t="shared" si="7"/>
        <v>145000000</v>
      </c>
    </row>
    <row r="29" spans="2:9" x14ac:dyDescent="0.2">
      <c r="B29" s="105" t="s">
        <v>60</v>
      </c>
      <c r="C29" s="105">
        <v>10</v>
      </c>
      <c r="D29" s="105" t="s">
        <v>84</v>
      </c>
      <c r="E29" s="82">
        <v>5000000</v>
      </c>
      <c r="F29" s="105"/>
      <c r="G29" s="105"/>
      <c r="H29" s="140">
        <f t="shared" si="7"/>
        <v>50000000</v>
      </c>
    </row>
    <row r="30" spans="2:9" x14ac:dyDescent="0.2">
      <c r="B30" s="105" t="s">
        <v>232</v>
      </c>
      <c r="C30" s="105">
        <v>10</v>
      </c>
      <c r="D30" s="105" t="s">
        <v>84</v>
      </c>
      <c r="E30" s="82">
        <f>40000*100</f>
        <v>4000000</v>
      </c>
      <c r="F30" s="105"/>
      <c r="G30" s="105"/>
      <c r="H30" s="140">
        <f t="shared" si="7"/>
        <v>40000000</v>
      </c>
    </row>
    <row r="31" spans="2:9" x14ac:dyDescent="0.2">
      <c r="B31" s="105" t="s">
        <v>331</v>
      </c>
      <c r="C31" s="105">
        <v>20</v>
      </c>
      <c r="D31" s="105" t="s">
        <v>84</v>
      </c>
      <c r="E31" s="95">
        <v>5170000</v>
      </c>
      <c r="F31" s="105"/>
      <c r="G31" s="105"/>
      <c r="H31" s="140">
        <f t="shared" si="7"/>
        <v>103400000</v>
      </c>
    </row>
    <row r="32" spans="2:9" x14ac:dyDescent="0.2">
      <c r="B32" s="105" t="s">
        <v>227</v>
      </c>
      <c r="C32" s="105">
        <v>2</v>
      </c>
      <c r="D32" s="105" t="s">
        <v>228</v>
      </c>
      <c r="E32" s="82">
        <v>43000000</v>
      </c>
      <c r="F32" s="209">
        <v>0.5</v>
      </c>
      <c r="G32" s="105"/>
      <c r="H32" s="140">
        <f>C32*E32*F32</f>
        <v>43000000</v>
      </c>
      <c r="I32" s="84"/>
    </row>
    <row r="33" spans="2:24" x14ac:dyDescent="0.2">
      <c r="B33" s="105" t="s">
        <v>429</v>
      </c>
      <c r="C33" s="105">
        <f>200*20</f>
        <v>4000</v>
      </c>
      <c r="D33" s="105" t="s">
        <v>377</v>
      </c>
      <c r="E33" s="82">
        <v>334640.25000000006</v>
      </c>
      <c r="F33" s="105"/>
      <c r="G33" s="105"/>
      <c r="H33" s="140">
        <f t="shared" ref="H33" si="8">C33*E33</f>
        <v>1338561000.0000002</v>
      </c>
    </row>
    <row r="34" spans="2:24" x14ac:dyDescent="0.2">
      <c r="B34" s="105" t="s">
        <v>230</v>
      </c>
      <c r="C34" s="105">
        <v>4</v>
      </c>
      <c r="D34" s="105" t="s">
        <v>114</v>
      </c>
      <c r="E34" s="82">
        <v>7862772</v>
      </c>
      <c r="F34" s="209"/>
      <c r="G34" s="105">
        <v>10</v>
      </c>
      <c r="H34" s="140">
        <f>C34*E34*G34</f>
        <v>314510880</v>
      </c>
      <c r="I34" s="84"/>
    </row>
    <row r="35" spans="2:24" x14ac:dyDescent="0.2">
      <c r="B35" s="105" t="s">
        <v>234</v>
      </c>
      <c r="C35" s="105">
        <v>5</v>
      </c>
      <c r="D35" s="105" t="s">
        <v>114</v>
      </c>
      <c r="E35" s="82">
        <v>12894949</v>
      </c>
      <c r="F35" s="105"/>
      <c r="G35" s="105">
        <v>12</v>
      </c>
      <c r="H35" s="140">
        <f>C35*E35*G35</f>
        <v>773696940</v>
      </c>
      <c r="I35" s="84"/>
    </row>
    <row r="36" spans="2:24" ht="15.75" customHeight="1" x14ac:dyDescent="0.2">
      <c r="B36" s="105" t="s">
        <v>222</v>
      </c>
      <c r="C36" s="105">
        <v>1</v>
      </c>
      <c r="D36" s="105" t="s">
        <v>430</v>
      </c>
      <c r="E36" s="82">
        <v>5381852</v>
      </c>
      <c r="F36" s="105"/>
      <c r="G36" s="105"/>
      <c r="H36" s="140">
        <f>C36*E36</f>
        <v>5381852</v>
      </c>
    </row>
    <row r="37" spans="2:24" x14ac:dyDescent="0.2">
      <c r="B37" s="105" t="s">
        <v>446</v>
      </c>
      <c r="C37" s="55">
        <v>250000</v>
      </c>
      <c r="D37" s="105" t="s">
        <v>226</v>
      </c>
      <c r="E37" s="55">
        <v>100000</v>
      </c>
      <c r="F37" s="209">
        <v>0.4</v>
      </c>
      <c r="G37" s="105"/>
      <c r="H37" s="396">
        <f>C37*E37*F37</f>
        <v>10000000000</v>
      </c>
      <c r="I37" s="84"/>
    </row>
    <row r="38" spans="2:24" x14ac:dyDescent="0.2">
      <c r="B38" s="105" t="s">
        <v>229</v>
      </c>
      <c r="C38" s="105">
        <v>125</v>
      </c>
      <c r="D38" s="105" t="s">
        <v>443</v>
      </c>
      <c r="E38" s="82">
        <v>2570750000</v>
      </c>
      <c r="F38" s="209">
        <v>0.2</v>
      </c>
      <c r="G38" s="105"/>
      <c r="H38" s="396">
        <f>C38*E38*F38</f>
        <v>64268750000</v>
      </c>
      <c r="I38" s="84"/>
    </row>
    <row r="39" spans="2:24" x14ac:dyDescent="0.2">
      <c r="B39" s="105" t="s">
        <v>447</v>
      </c>
      <c r="C39" s="43">
        <f>C37</f>
        <v>250000</v>
      </c>
      <c r="D39" s="105" t="s">
        <v>226</v>
      </c>
      <c r="E39" s="43">
        <f>E37</f>
        <v>100000</v>
      </c>
      <c r="F39" s="397">
        <v>7.4999999999999997E-2</v>
      </c>
      <c r="G39" s="105"/>
      <c r="H39" s="55">
        <f>C39*E39*F39</f>
        <v>1875000000</v>
      </c>
      <c r="I39" s="103"/>
    </row>
    <row r="40" spans="2:24" x14ac:dyDescent="0.2">
      <c r="B40" s="105" t="s">
        <v>408</v>
      </c>
      <c r="C40" s="43">
        <f>C38</f>
        <v>125</v>
      </c>
      <c r="D40" s="105" t="s">
        <v>443</v>
      </c>
      <c r="E40" s="43">
        <f>E38</f>
        <v>2570750000</v>
      </c>
      <c r="F40" s="397">
        <v>7.4999999999999997E-2</v>
      </c>
      <c r="G40" s="105"/>
      <c r="H40" s="55">
        <f>C40*E40*F40</f>
        <v>24100781250</v>
      </c>
      <c r="I40" s="103"/>
    </row>
    <row r="41" spans="2:24" ht="15" x14ac:dyDescent="0.25">
      <c r="B41" s="105" t="s">
        <v>233</v>
      </c>
      <c r="C41" s="105"/>
      <c r="D41" s="105"/>
      <c r="E41" s="105"/>
      <c r="F41" s="105"/>
      <c r="G41" s="105"/>
      <c r="H41" s="140" t="s">
        <v>78</v>
      </c>
      <c r="I41" s="115" t="s">
        <v>174</v>
      </c>
    </row>
    <row r="42" spans="2:24" ht="15" x14ac:dyDescent="0.25">
      <c r="B42" s="326" t="s">
        <v>236</v>
      </c>
      <c r="C42" s="143"/>
      <c r="D42" s="143"/>
      <c r="E42" s="143"/>
      <c r="F42" s="143"/>
      <c r="G42" s="143"/>
      <c r="H42" s="369">
        <f>SUM(H16:H36)</f>
        <v>3750400672</v>
      </c>
      <c r="I42" s="115">
        <f>H42/12</f>
        <v>312533389.33333331</v>
      </c>
    </row>
    <row r="43" spans="2:24" ht="15" x14ac:dyDescent="0.25">
      <c r="B43" s="86" t="s">
        <v>237</v>
      </c>
      <c r="C43" s="87"/>
      <c r="D43" s="87"/>
      <c r="E43" s="87"/>
      <c r="F43" s="88"/>
      <c r="G43" s="88"/>
      <c r="H43" s="115">
        <f>SUM(H16:H38)</f>
        <v>78019150672</v>
      </c>
    </row>
    <row r="44" spans="2:24" ht="15" x14ac:dyDescent="0.25">
      <c r="B44" s="333" t="s">
        <v>374</v>
      </c>
      <c r="C44" s="141"/>
      <c r="D44" s="141"/>
      <c r="E44" s="141"/>
      <c r="F44" s="141"/>
      <c r="G44" s="141"/>
      <c r="H44" s="334">
        <f>H43-H32-H33-H35-H36</f>
        <v>75858510880</v>
      </c>
    </row>
    <row r="45" spans="2:24" ht="15" x14ac:dyDescent="0.25">
      <c r="B45" s="86" t="s">
        <v>375</v>
      </c>
      <c r="C45" s="141"/>
      <c r="D45" s="141"/>
      <c r="E45" s="141"/>
      <c r="F45" s="141"/>
      <c r="G45" s="141"/>
      <c r="H45" s="334">
        <f>H44-H38-H37+H40+H39</f>
        <v>27565542130</v>
      </c>
    </row>
    <row r="46" spans="2:24" ht="409.5" customHeight="1" x14ac:dyDescent="0.2">
      <c r="B46" s="218" t="s">
        <v>452</v>
      </c>
      <c r="C46" s="314"/>
      <c r="D46" s="141"/>
      <c r="E46" s="141"/>
      <c r="F46" s="141"/>
      <c r="G46" s="141"/>
      <c r="H46" s="141"/>
      <c r="I46" s="141"/>
      <c r="K46" s="141"/>
      <c r="L46" s="141"/>
      <c r="M46" s="141"/>
    </row>
    <row r="47" spans="2:24" x14ac:dyDescent="0.2">
      <c r="B47" s="336"/>
      <c r="C47" s="314"/>
      <c r="D47" s="141"/>
      <c r="E47" s="141"/>
      <c r="F47" s="141"/>
      <c r="G47" s="141"/>
      <c r="H47" s="141"/>
      <c r="I47" s="141"/>
      <c r="J47" s="141"/>
      <c r="K47" s="141"/>
      <c r="L47" s="141"/>
      <c r="M47" s="141"/>
    </row>
    <row r="48" spans="2:24" s="103" customFormat="1" ht="14.45" customHeight="1" x14ac:dyDescent="0.25">
      <c r="B48" s="321" t="str">
        <f>B9</f>
        <v xml:space="preserve">2.2. Impulso a la producción de maíz a mediana y gran escala.  </v>
      </c>
      <c r="C48" s="314"/>
      <c r="D48" s="141"/>
      <c r="E48" s="141"/>
      <c r="F48" s="141"/>
      <c r="G48" s="141"/>
      <c r="H48" s="141"/>
      <c r="I48" s="316"/>
      <c r="X48" s="78"/>
    </row>
    <row r="49" spans="2:24" ht="15" x14ac:dyDescent="0.25">
      <c r="B49" s="79" t="s">
        <v>79</v>
      </c>
      <c r="C49" s="79" t="s">
        <v>59</v>
      </c>
      <c r="D49" s="79" t="s">
        <v>56</v>
      </c>
      <c r="E49" s="79" t="s">
        <v>55</v>
      </c>
      <c r="F49" s="80" t="s">
        <v>108</v>
      </c>
      <c r="G49" s="79" t="s">
        <v>239</v>
      </c>
      <c r="H49" s="79" t="s">
        <v>82</v>
      </c>
      <c r="X49" s="81"/>
    </row>
    <row r="50" spans="2:24" x14ac:dyDescent="0.2">
      <c r="B50" s="104" t="s">
        <v>83</v>
      </c>
      <c r="C50" s="104">
        <v>12</v>
      </c>
      <c r="D50" s="104" t="s">
        <v>84</v>
      </c>
      <c r="E50" s="45">
        <v>500000</v>
      </c>
      <c r="F50" s="104"/>
      <c r="G50" s="104"/>
      <c r="H50" s="140">
        <f>+E50*C50</f>
        <v>6000000</v>
      </c>
      <c r="J50" s="53"/>
    </row>
    <row r="51" spans="2:24" x14ac:dyDescent="0.2">
      <c r="B51" s="104" t="s">
        <v>85</v>
      </c>
      <c r="C51" s="104">
        <v>12</v>
      </c>
      <c r="D51" s="104" t="s">
        <v>84</v>
      </c>
      <c r="E51" s="45">
        <v>100000</v>
      </c>
      <c r="F51" s="104"/>
      <c r="G51" s="104"/>
      <c r="H51" s="140">
        <f t="shared" ref="H51:H57" si="9">+E51*C51</f>
        <v>1200000</v>
      </c>
      <c r="J51" s="53"/>
    </row>
    <row r="52" spans="2:24" x14ac:dyDescent="0.2">
      <c r="B52" s="104" t="s">
        <v>102</v>
      </c>
      <c r="C52" s="104">
        <v>4</v>
      </c>
      <c r="D52" s="104" t="s">
        <v>84</v>
      </c>
      <c r="E52" s="45">
        <v>2300000</v>
      </c>
      <c r="F52" s="104"/>
      <c r="G52" s="104"/>
      <c r="H52" s="140">
        <f t="shared" si="9"/>
        <v>9200000</v>
      </c>
      <c r="J52" s="53"/>
    </row>
    <row r="53" spans="2:24" x14ac:dyDescent="0.2">
      <c r="B53" s="104" t="s">
        <v>103</v>
      </c>
      <c r="C53" s="104">
        <v>4</v>
      </c>
      <c r="D53" s="104" t="s">
        <v>84</v>
      </c>
      <c r="E53" s="45">
        <v>460000</v>
      </c>
      <c r="F53" s="104"/>
      <c r="G53" s="104"/>
      <c r="H53" s="140">
        <f t="shared" si="9"/>
        <v>1840000</v>
      </c>
      <c r="J53" s="53"/>
    </row>
    <row r="54" spans="2:24" ht="15.75" customHeight="1" x14ac:dyDescent="0.2">
      <c r="B54" s="104" t="s">
        <v>366</v>
      </c>
      <c r="C54" s="104">
        <v>2</v>
      </c>
      <c r="D54" s="104" t="s">
        <v>84</v>
      </c>
      <c r="E54" s="109">
        <v>18000000</v>
      </c>
      <c r="F54" s="104"/>
      <c r="G54" s="104"/>
      <c r="H54" s="140">
        <f t="shared" si="9"/>
        <v>36000000</v>
      </c>
      <c r="J54" s="53"/>
    </row>
    <row r="55" spans="2:24" x14ac:dyDescent="0.2">
      <c r="B55" s="104" t="s">
        <v>367</v>
      </c>
      <c r="C55" s="104">
        <v>2</v>
      </c>
      <c r="D55" s="104" t="s">
        <v>84</v>
      </c>
      <c r="E55" s="109">
        <v>3270000</v>
      </c>
      <c r="F55" s="98"/>
      <c r="G55" s="104"/>
      <c r="H55" s="140">
        <f t="shared" si="9"/>
        <v>6540000</v>
      </c>
      <c r="J55" s="53"/>
    </row>
    <row r="56" spans="2:24" x14ac:dyDescent="0.2">
      <c r="B56" s="104" t="s">
        <v>368</v>
      </c>
      <c r="C56" s="104">
        <v>4</v>
      </c>
      <c r="D56" s="104" t="s">
        <v>114</v>
      </c>
      <c r="E56" s="109">
        <v>7862772</v>
      </c>
      <c r="F56" s="98"/>
      <c r="G56" s="104">
        <v>10</v>
      </c>
      <c r="H56" s="140">
        <f>+E56*C56*G56</f>
        <v>314510880</v>
      </c>
      <c r="J56" s="53"/>
    </row>
    <row r="57" spans="2:24" x14ac:dyDescent="0.2">
      <c r="B57" s="104" t="s">
        <v>369</v>
      </c>
      <c r="C57" s="104">
        <v>4</v>
      </c>
      <c r="D57" s="104" t="s">
        <v>84</v>
      </c>
      <c r="E57" s="109">
        <v>1313122</v>
      </c>
      <c r="F57" s="98"/>
      <c r="G57" s="104"/>
      <c r="H57" s="140">
        <f t="shared" si="9"/>
        <v>5252488</v>
      </c>
      <c r="J57" s="53"/>
    </row>
    <row r="58" spans="2:24" ht="15" x14ac:dyDescent="0.25">
      <c r="B58" s="86" t="s">
        <v>370</v>
      </c>
      <c r="C58" s="86"/>
      <c r="D58" s="86"/>
      <c r="E58" s="86"/>
      <c r="F58" s="86"/>
      <c r="G58" s="86"/>
      <c r="H58" s="322">
        <f>SUM(H50:H57)</f>
        <v>380543368</v>
      </c>
      <c r="I58" s="323">
        <f>H58/12</f>
        <v>31711947.333333332</v>
      </c>
      <c r="J58" s="103"/>
    </row>
    <row r="59" spans="2:24" ht="71.25" x14ac:dyDescent="0.2">
      <c r="B59" s="218" t="s">
        <v>431</v>
      </c>
      <c r="C59" s="314"/>
      <c r="D59" s="141"/>
      <c r="E59" s="141"/>
      <c r="F59" s="141"/>
      <c r="G59" s="141"/>
      <c r="H59" s="141"/>
      <c r="I59" s="141"/>
      <c r="J59" s="141"/>
      <c r="K59" s="141"/>
      <c r="L59" s="141"/>
      <c r="M59" s="141"/>
    </row>
    <row r="60" spans="2:24" x14ac:dyDescent="0.2">
      <c r="D60" s="141"/>
      <c r="E60" s="141"/>
      <c r="F60" s="141"/>
      <c r="G60" s="141"/>
      <c r="H60" s="141"/>
      <c r="I60" s="141"/>
      <c r="J60" s="141"/>
      <c r="K60" s="141"/>
      <c r="L60" s="141"/>
      <c r="M60" s="141"/>
    </row>
  </sheetData>
  <sheetProtection algorithmName="SHA-512" hashValue="cuko6zhuLs8bHSYQoT25fyuz6fqoDaXRdM9YoFSllJ3aSrUqXAdWlmO9PG4O+51pbJl8MvSFCW+Efz7l8Te56A==" saltValue="u4LWsgIWRNx9+PALN899iw==" spinCount="100000" sheet="1" objects="1" scenarios="1"/>
  <mergeCells count="1">
    <mergeCell ref="B13:H14"/>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35"/>
  <sheetViews>
    <sheetView showGridLines="0" zoomScale="60" zoomScaleNormal="60" workbookViewId="0">
      <selection activeCell="B8" sqref="B8"/>
    </sheetView>
  </sheetViews>
  <sheetFormatPr baseColWidth="10" defaultColWidth="10.7109375" defaultRowHeight="14.25" x14ac:dyDescent="0.2"/>
  <cols>
    <col min="1" max="1" width="13.42578125" style="102" customWidth="1"/>
    <col min="2" max="2" width="98.85546875" style="102" customWidth="1"/>
    <col min="3" max="3" width="19.85546875" style="102" customWidth="1"/>
    <col min="4" max="4" width="23.42578125" style="102" customWidth="1"/>
    <col min="5" max="5" width="22.42578125" style="102" customWidth="1"/>
    <col min="6" max="6" width="21.42578125" style="102" customWidth="1"/>
    <col min="7" max="7" width="20" style="102" customWidth="1"/>
    <col min="8" max="8" width="24.42578125" style="102" customWidth="1"/>
    <col min="9" max="9" width="19.42578125" style="102" customWidth="1"/>
    <col min="10" max="10" width="20" style="102" customWidth="1"/>
    <col min="11" max="11" width="18.42578125" style="102" bestFit="1" customWidth="1"/>
    <col min="12" max="12" width="19.140625" style="102" bestFit="1" customWidth="1"/>
    <col min="13" max="23" width="18.42578125" style="102" bestFit="1" customWidth="1"/>
    <col min="24" max="24" width="19.140625" style="102" bestFit="1" customWidth="1"/>
    <col min="25" max="25" width="21.42578125" style="102" bestFit="1" customWidth="1"/>
    <col min="26" max="26" width="22.85546875" style="102" customWidth="1"/>
    <col min="27" max="27" width="17" style="102" bestFit="1" customWidth="1"/>
    <col min="28" max="28" width="17.85546875" style="102" customWidth="1"/>
    <col min="29" max="16384" width="10.7109375" style="102"/>
  </cols>
  <sheetData>
    <row r="2" spans="1:26" ht="15" x14ac:dyDescent="0.25">
      <c r="A2" s="58" t="s">
        <v>98</v>
      </c>
    </row>
    <row r="3" spans="1:26" s="103" customFormat="1" ht="15" x14ac:dyDescent="0.25">
      <c r="A3" s="50"/>
    </row>
    <row r="4" spans="1:26" ht="21.75" customHeight="1" x14ac:dyDescent="0.25">
      <c r="A4" s="59"/>
      <c r="B4" s="60" t="b">
        <f>'PPP_V3_y Costos'!D6&lt;'PPP_V3_y Costos'!C6</f>
        <v>0</v>
      </c>
      <c r="C4" s="61"/>
      <c r="D4" s="62"/>
    </row>
    <row r="5" spans="1:26" ht="26.25" customHeight="1" x14ac:dyDescent="0.2">
      <c r="E5" s="160"/>
      <c r="F5" s="160"/>
      <c r="G5" s="160"/>
      <c r="H5" s="160"/>
      <c r="I5" s="160"/>
      <c r="J5" s="160"/>
      <c r="K5" s="160"/>
      <c r="L5" s="160"/>
      <c r="M5" s="160"/>
      <c r="N5" s="160"/>
      <c r="O5" s="160"/>
      <c r="P5" s="160"/>
      <c r="Q5" s="160"/>
      <c r="R5" s="160"/>
      <c r="S5" s="160"/>
      <c r="T5" s="160"/>
      <c r="U5" s="160"/>
      <c r="V5" s="160"/>
      <c r="W5" s="160"/>
      <c r="X5" s="160"/>
      <c r="Y5" s="160"/>
      <c r="Z5" s="161"/>
    </row>
    <row r="6" spans="1:26" ht="15" x14ac:dyDescent="0.25">
      <c r="E6" s="63">
        <v>1</v>
      </c>
      <c r="F6" s="63">
        <v>2</v>
      </c>
      <c r="G6" s="63">
        <v>3</v>
      </c>
      <c r="H6" s="63">
        <v>4</v>
      </c>
      <c r="I6" s="63">
        <v>5</v>
      </c>
      <c r="J6" s="63">
        <v>6</v>
      </c>
      <c r="K6" s="63">
        <v>7</v>
      </c>
      <c r="L6" s="63">
        <v>8</v>
      </c>
      <c r="M6" s="63">
        <v>9</v>
      </c>
      <c r="N6" s="63">
        <v>10</v>
      </c>
      <c r="O6" s="63">
        <v>11</v>
      </c>
      <c r="P6" s="63">
        <v>12</v>
      </c>
      <c r="Q6" s="63">
        <v>13</v>
      </c>
      <c r="R6" s="63">
        <v>14</v>
      </c>
      <c r="S6" s="63">
        <v>15</v>
      </c>
      <c r="T6" s="63">
        <v>16</v>
      </c>
      <c r="U6" s="63">
        <v>17</v>
      </c>
      <c r="V6" s="63">
        <v>18</v>
      </c>
      <c r="W6" s="63">
        <v>19</v>
      </c>
      <c r="X6" s="63">
        <v>20</v>
      </c>
      <c r="Y6" s="63" t="s">
        <v>33</v>
      </c>
    </row>
    <row r="7" spans="1:26" s="40" customFormat="1" ht="15" x14ac:dyDescent="0.25">
      <c r="A7" s="102"/>
      <c r="B7" s="64" t="s">
        <v>29</v>
      </c>
      <c r="C7" s="65" t="s">
        <v>77</v>
      </c>
      <c r="D7" s="65" t="s">
        <v>176</v>
      </c>
      <c r="E7" s="66">
        <f>SUM(E8:E12)</f>
        <v>2192898774.0434985</v>
      </c>
      <c r="F7" s="66">
        <f t="shared" ref="F7:X7" si="0">SUM(F8:F12)</f>
        <v>75017708836.936035</v>
      </c>
      <c r="G7" s="66">
        <f t="shared" si="0"/>
        <v>75017708836.936035</v>
      </c>
      <c r="H7" s="66">
        <f t="shared" si="0"/>
        <v>75017708836.936035</v>
      </c>
      <c r="I7" s="66">
        <f t="shared" si="0"/>
        <v>75017708836.936035</v>
      </c>
      <c r="J7" s="66">
        <f t="shared" si="0"/>
        <v>74942852600.936035</v>
      </c>
      <c r="K7" s="66">
        <f t="shared" si="0"/>
        <v>74863656901.424042</v>
      </c>
      <c r="L7" s="66">
        <f t="shared" si="0"/>
        <v>74863656901.424042</v>
      </c>
      <c r="M7" s="66">
        <f t="shared" si="0"/>
        <v>74863656901.424042</v>
      </c>
      <c r="N7" s="66">
        <f t="shared" si="0"/>
        <v>74863656901.424042</v>
      </c>
      <c r="O7" s="66">
        <f t="shared" si="0"/>
        <v>73614392216.11203</v>
      </c>
      <c r="P7" s="66">
        <f t="shared" si="0"/>
        <v>72247246068.906036</v>
      </c>
      <c r="Q7" s="66">
        <f t="shared" si="0"/>
        <v>72247246068.906036</v>
      </c>
      <c r="R7" s="66">
        <f t="shared" si="0"/>
        <v>72247246068.906036</v>
      </c>
      <c r="S7" s="66">
        <f t="shared" si="0"/>
        <v>72247246068.906036</v>
      </c>
      <c r="T7" s="66">
        <f t="shared" si="0"/>
        <v>72247246068.906036</v>
      </c>
      <c r="U7" s="66">
        <f t="shared" si="0"/>
        <v>72247246068.906036</v>
      </c>
      <c r="V7" s="66">
        <f t="shared" si="0"/>
        <v>72247246068.906036</v>
      </c>
      <c r="W7" s="66">
        <f t="shared" si="0"/>
        <v>72247246068.906036</v>
      </c>
      <c r="X7" s="66">
        <f t="shared" si="0"/>
        <v>72247246068.906036</v>
      </c>
      <c r="Y7" s="66">
        <f>SUM(E7:X7)</f>
        <v>1400500821164.686</v>
      </c>
      <c r="Z7" s="67"/>
    </row>
    <row r="8" spans="1:26" s="71" customFormat="1" x14ac:dyDescent="0.2">
      <c r="A8" s="68"/>
      <c r="B8" s="69" t="str">
        <f>'PPP_V3_y Costos'!D6</f>
        <v>3.1. Promoción y fortalecimiento de organizaciones de economía solidaria en la cadena de maíz.</v>
      </c>
      <c r="C8" s="329" t="s">
        <v>235</v>
      </c>
      <c r="D8" s="329" t="s">
        <v>244</v>
      </c>
      <c r="E8" s="330">
        <f>I33*3</f>
        <v>239430830</v>
      </c>
      <c r="F8" s="145">
        <f>H33</f>
        <v>957723320</v>
      </c>
      <c r="G8" s="145">
        <f>F8</f>
        <v>957723320</v>
      </c>
      <c r="H8" s="145">
        <f>G8</f>
        <v>957723320</v>
      </c>
      <c r="I8" s="145">
        <f>H8</f>
        <v>957723320</v>
      </c>
      <c r="J8" s="145">
        <f>H34</f>
        <v>1457723320</v>
      </c>
      <c r="K8" s="145">
        <f>H34</f>
        <v>1457723320</v>
      </c>
      <c r="L8" s="145">
        <f>K8</f>
        <v>1457723320</v>
      </c>
      <c r="M8" s="145">
        <f>L8</f>
        <v>1457723320</v>
      </c>
      <c r="N8" s="145">
        <f>M8</f>
        <v>1457723320</v>
      </c>
      <c r="O8" s="145">
        <f>N8</f>
        <v>1457723320</v>
      </c>
      <c r="P8" s="145">
        <f>O8</f>
        <v>1457723320</v>
      </c>
      <c r="Q8" s="145">
        <f>O8</f>
        <v>1457723320</v>
      </c>
      <c r="R8" s="145">
        <f>Q8</f>
        <v>1457723320</v>
      </c>
      <c r="S8" s="145">
        <f>R8</f>
        <v>1457723320</v>
      </c>
      <c r="T8" s="145">
        <f>P8</f>
        <v>1457723320</v>
      </c>
      <c r="U8" s="145">
        <f>R8</f>
        <v>1457723320</v>
      </c>
      <c r="V8" s="145">
        <f t="shared" ref="V8:W10" si="1">U8</f>
        <v>1457723320</v>
      </c>
      <c r="W8" s="145">
        <f t="shared" si="1"/>
        <v>1457723320</v>
      </c>
      <c r="X8" s="145">
        <f>S8</f>
        <v>1457723320</v>
      </c>
      <c r="Y8" s="70">
        <f>SUM(E8:X8)</f>
        <v>25936173910</v>
      </c>
      <c r="Z8" s="67"/>
    </row>
    <row r="9" spans="1:26" s="71" customFormat="1" x14ac:dyDescent="0.2">
      <c r="A9" s="68"/>
      <c r="B9" s="69" t="str">
        <f>'PPP_V3_y Costos'!D7</f>
        <v>3.2. Promoción de la integración y las alianzas estratégicas regionales en la cadena de maíz.</v>
      </c>
      <c r="C9" s="329" t="s">
        <v>235</v>
      </c>
      <c r="D9" s="329" t="s">
        <v>244</v>
      </c>
      <c r="E9" s="145">
        <f>I60*3</f>
        <v>605460671.5</v>
      </c>
      <c r="F9" s="145">
        <f>H60</f>
        <v>2421842686</v>
      </c>
      <c r="G9" s="145">
        <f t="shared" ref="G9:I10" si="2">F9</f>
        <v>2421842686</v>
      </c>
      <c r="H9" s="145">
        <f t="shared" si="2"/>
        <v>2421842686</v>
      </c>
      <c r="I9" s="145">
        <f t="shared" si="2"/>
        <v>2421842686</v>
      </c>
      <c r="J9" s="145">
        <f>H62</f>
        <v>1846986450</v>
      </c>
      <c r="K9" s="145">
        <f t="shared" ref="K9:N10" si="3">J9</f>
        <v>1846986450</v>
      </c>
      <c r="L9" s="145">
        <f t="shared" si="3"/>
        <v>1846986450</v>
      </c>
      <c r="M9" s="145">
        <f t="shared" si="3"/>
        <v>1846986450</v>
      </c>
      <c r="N9" s="145">
        <f t="shared" si="3"/>
        <v>1846986450</v>
      </c>
      <c r="O9" s="145">
        <f>N9</f>
        <v>1846986450</v>
      </c>
      <c r="P9" s="145">
        <f>O9</f>
        <v>1846986450</v>
      </c>
      <c r="Q9" s="145">
        <f t="shared" ref="Q9:R11" si="4">P9</f>
        <v>1846986450</v>
      </c>
      <c r="R9" s="145">
        <f t="shared" si="4"/>
        <v>1846986450</v>
      </c>
      <c r="S9" s="145">
        <f t="shared" ref="S9:U10" si="5">R9</f>
        <v>1846986450</v>
      </c>
      <c r="T9" s="145">
        <f t="shared" si="5"/>
        <v>1846986450</v>
      </c>
      <c r="U9" s="145">
        <f t="shared" si="5"/>
        <v>1846986450</v>
      </c>
      <c r="V9" s="145">
        <f t="shared" si="1"/>
        <v>1846986450</v>
      </c>
      <c r="W9" s="145">
        <f t="shared" si="1"/>
        <v>1846986450</v>
      </c>
      <c r="X9" s="145">
        <f>W9</f>
        <v>1846986450</v>
      </c>
      <c r="Y9" s="70">
        <f t="shared" ref="Y9:Y12" si="6">SUM(E9:X9)</f>
        <v>37997628165.5</v>
      </c>
      <c r="Z9" s="67"/>
    </row>
    <row r="10" spans="1:26" s="71" customFormat="1" ht="28.5" x14ac:dyDescent="0.2">
      <c r="A10" s="68"/>
      <c r="B10" s="69" t="str">
        <f>'PPP_V3_y Costos'!D8</f>
        <v>3.3. Aumento de la capacidad instalada regional para el secamiento, almacenamiento, y  procesamiento agroindustrial de maíz.</v>
      </c>
      <c r="C10" s="329" t="s">
        <v>235</v>
      </c>
      <c r="D10" s="329" t="s">
        <v>244</v>
      </c>
      <c r="E10" s="145">
        <f>I87*3</f>
        <v>341786536.80149841</v>
      </c>
      <c r="F10" s="145">
        <f>H89</f>
        <v>68813185862.992035</v>
      </c>
      <c r="G10" s="145">
        <f t="shared" si="2"/>
        <v>68813185862.992035</v>
      </c>
      <c r="H10" s="145">
        <f t="shared" si="2"/>
        <v>68813185862.992035</v>
      </c>
      <c r="I10" s="145">
        <f t="shared" si="2"/>
        <v>68813185862.992035</v>
      </c>
      <c r="J10" s="145">
        <f>I10</f>
        <v>68813185862.992035</v>
      </c>
      <c r="K10" s="145">
        <f t="shared" si="3"/>
        <v>68813185862.992035</v>
      </c>
      <c r="L10" s="145">
        <f t="shared" si="3"/>
        <v>68813185862.992035</v>
      </c>
      <c r="M10" s="145">
        <f t="shared" si="3"/>
        <v>68813185862.992035</v>
      </c>
      <c r="N10" s="145">
        <f t="shared" si="3"/>
        <v>68813185862.992035</v>
      </c>
      <c r="O10" s="145">
        <f>N10</f>
        <v>68813185862.992035</v>
      </c>
      <c r="P10" s="145">
        <f>H90</f>
        <v>67446039715.786041</v>
      </c>
      <c r="Q10" s="145">
        <f t="shared" si="4"/>
        <v>67446039715.786041</v>
      </c>
      <c r="R10" s="145">
        <f t="shared" si="4"/>
        <v>67446039715.786041</v>
      </c>
      <c r="S10" s="145">
        <f t="shared" si="5"/>
        <v>67446039715.786041</v>
      </c>
      <c r="T10" s="145">
        <f t="shared" si="5"/>
        <v>67446039715.786041</v>
      </c>
      <c r="U10" s="145">
        <f t="shared" si="5"/>
        <v>67446039715.786041</v>
      </c>
      <c r="V10" s="145">
        <f t="shared" si="1"/>
        <v>67446039715.786041</v>
      </c>
      <c r="W10" s="145">
        <f t="shared" si="1"/>
        <v>67446039715.786041</v>
      </c>
      <c r="X10" s="145">
        <f>W10</f>
        <v>67446039715.786041</v>
      </c>
      <c r="Y10" s="70">
        <f t="shared" si="6"/>
        <v>1295488002608.7964</v>
      </c>
      <c r="Z10" s="67"/>
    </row>
    <row r="11" spans="1:26" s="71" customFormat="1" x14ac:dyDescent="0.2">
      <c r="A11" s="68"/>
      <c r="B11" s="69" t="str">
        <f>'PPP_V3_y Costos'!D9</f>
        <v xml:space="preserve">3.4. Fortalecimiento de la oferta de insumos y servicios asociados a la cadena. </v>
      </c>
      <c r="C11" s="329" t="s">
        <v>235</v>
      </c>
      <c r="D11" s="329" t="s">
        <v>244</v>
      </c>
      <c r="E11" s="146">
        <f>I117*3</f>
        <v>556248495.10800004</v>
      </c>
      <c r="F11" s="70">
        <f>+H117</f>
        <v>2224993980.4320002</v>
      </c>
      <c r="G11" s="70">
        <f>+F11</f>
        <v>2224993980.4320002</v>
      </c>
      <c r="H11" s="70">
        <f>+G11</f>
        <v>2224993980.4320002</v>
      </c>
      <c r="I11" s="70">
        <f>+H11</f>
        <v>2224993980.4320002</v>
      </c>
      <c r="J11" s="70">
        <f>I11</f>
        <v>2224993980.4320002</v>
      </c>
      <c r="K11" s="70">
        <f>+J11</f>
        <v>2224993980.4320002</v>
      </c>
      <c r="L11" s="70">
        <f t="shared" ref="L11:N11" si="7">+K11</f>
        <v>2224993980.4320002</v>
      </c>
      <c r="M11" s="70">
        <f t="shared" si="7"/>
        <v>2224993980.4320002</v>
      </c>
      <c r="N11" s="70">
        <f t="shared" si="7"/>
        <v>2224993980.4320002</v>
      </c>
      <c r="O11" s="70">
        <f>H118</f>
        <v>975729295.12</v>
      </c>
      <c r="P11" s="70">
        <f>O11</f>
        <v>975729295.12</v>
      </c>
      <c r="Q11" s="70">
        <f t="shared" si="4"/>
        <v>975729295.12</v>
      </c>
      <c r="R11" s="70">
        <f t="shared" si="4"/>
        <v>975729295.12</v>
      </c>
      <c r="S11" s="70">
        <f>R11</f>
        <v>975729295.12</v>
      </c>
      <c r="T11" s="70">
        <f>S11</f>
        <v>975729295.12</v>
      </c>
      <c r="U11" s="70">
        <f>T11</f>
        <v>975729295.12</v>
      </c>
      <c r="V11" s="70">
        <f>U11</f>
        <v>975729295.12</v>
      </c>
      <c r="W11" s="70">
        <f>V11</f>
        <v>975729295.12</v>
      </c>
      <c r="X11" s="70">
        <f>W11</f>
        <v>975729295.12</v>
      </c>
      <c r="Y11" s="70">
        <f t="shared" si="6"/>
        <v>30338487270.195988</v>
      </c>
      <c r="Z11" s="67"/>
    </row>
    <row r="12" spans="1:26" s="71" customFormat="1" x14ac:dyDescent="0.2">
      <c r="A12" s="68"/>
      <c r="B12" s="69" t="str">
        <f>'PPP_V3_y Costos'!D10</f>
        <v>3.5. Mejora del entorno productivo para las grandes inversiones en las regiones maiceras.</v>
      </c>
      <c r="C12" s="329" t="s">
        <v>406</v>
      </c>
      <c r="D12" s="329" t="s">
        <v>244</v>
      </c>
      <c r="E12" s="146">
        <f>+I133*9</f>
        <v>449972240.63399994</v>
      </c>
      <c r="F12" s="70">
        <f>+$H$133</f>
        <v>599962987.51199996</v>
      </c>
      <c r="G12" s="70">
        <f>+$H$133</f>
        <v>599962987.51199996</v>
      </c>
      <c r="H12" s="70">
        <f>+$H$133</f>
        <v>599962987.51199996</v>
      </c>
      <c r="I12" s="70">
        <f>+$H$133</f>
        <v>599962987.51199996</v>
      </c>
      <c r="J12" s="70">
        <f>+$H$133</f>
        <v>599962987.51199996</v>
      </c>
      <c r="K12" s="70">
        <f t="shared" ref="K12:X12" si="8">+$H$134</f>
        <v>520767288</v>
      </c>
      <c r="L12" s="70">
        <f t="shared" si="8"/>
        <v>520767288</v>
      </c>
      <c r="M12" s="70">
        <f t="shared" si="8"/>
        <v>520767288</v>
      </c>
      <c r="N12" s="70">
        <f t="shared" si="8"/>
        <v>520767288</v>
      </c>
      <c r="O12" s="70">
        <f t="shared" si="8"/>
        <v>520767288</v>
      </c>
      <c r="P12" s="70">
        <f t="shared" si="8"/>
        <v>520767288</v>
      </c>
      <c r="Q12" s="70">
        <f t="shared" si="8"/>
        <v>520767288</v>
      </c>
      <c r="R12" s="70">
        <f t="shared" si="8"/>
        <v>520767288</v>
      </c>
      <c r="S12" s="70">
        <f t="shared" si="8"/>
        <v>520767288</v>
      </c>
      <c r="T12" s="70">
        <f t="shared" si="8"/>
        <v>520767288</v>
      </c>
      <c r="U12" s="70">
        <f t="shared" si="8"/>
        <v>520767288</v>
      </c>
      <c r="V12" s="70">
        <f t="shared" si="8"/>
        <v>520767288</v>
      </c>
      <c r="W12" s="70">
        <f t="shared" si="8"/>
        <v>520767288</v>
      </c>
      <c r="X12" s="70">
        <f t="shared" si="8"/>
        <v>520767288</v>
      </c>
      <c r="Y12" s="70">
        <f t="shared" si="6"/>
        <v>10740529210.194</v>
      </c>
      <c r="Z12" s="67"/>
    </row>
    <row r="13" spans="1:26" s="40" customFormat="1" ht="24.75" customHeight="1" x14ac:dyDescent="0.25">
      <c r="A13" s="102"/>
      <c r="B13" s="64" t="s">
        <v>33</v>
      </c>
      <c r="C13" s="64"/>
      <c r="D13" s="64"/>
      <c r="E13" s="72">
        <f>SUM(E8:E12)</f>
        <v>2192898774.0434985</v>
      </c>
      <c r="F13" s="72">
        <f t="shared" ref="F13:Y13" si="9">SUM(F8:F12)</f>
        <v>75017708836.936035</v>
      </c>
      <c r="G13" s="72">
        <f t="shared" si="9"/>
        <v>75017708836.936035</v>
      </c>
      <c r="H13" s="72">
        <f t="shared" si="9"/>
        <v>75017708836.936035</v>
      </c>
      <c r="I13" s="72">
        <f t="shared" si="9"/>
        <v>75017708836.936035</v>
      </c>
      <c r="J13" s="72">
        <f t="shared" si="9"/>
        <v>74942852600.936035</v>
      </c>
      <c r="K13" s="72">
        <f t="shared" si="9"/>
        <v>74863656901.424042</v>
      </c>
      <c r="L13" s="72">
        <f t="shared" si="9"/>
        <v>74863656901.424042</v>
      </c>
      <c r="M13" s="72">
        <f t="shared" si="9"/>
        <v>74863656901.424042</v>
      </c>
      <c r="N13" s="72">
        <f t="shared" si="9"/>
        <v>74863656901.424042</v>
      </c>
      <c r="O13" s="72">
        <f t="shared" si="9"/>
        <v>73614392216.11203</v>
      </c>
      <c r="P13" s="72">
        <f t="shared" si="9"/>
        <v>72247246068.906036</v>
      </c>
      <c r="Q13" s="72">
        <f t="shared" si="9"/>
        <v>72247246068.906036</v>
      </c>
      <c r="R13" s="72">
        <f t="shared" si="9"/>
        <v>72247246068.906036</v>
      </c>
      <c r="S13" s="72">
        <f t="shared" si="9"/>
        <v>72247246068.906036</v>
      </c>
      <c r="T13" s="72">
        <f t="shared" si="9"/>
        <v>72247246068.906036</v>
      </c>
      <c r="U13" s="72">
        <f t="shared" si="9"/>
        <v>72247246068.906036</v>
      </c>
      <c r="V13" s="72">
        <f t="shared" si="9"/>
        <v>72247246068.906036</v>
      </c>
      <c r="W13" s="72">
        <f t="shared" si="9"/>
        <v>72247246068.906036</v>
      </c>
      <c r="X13" s="72">
        <f t="shared" si="9"/>
        <v>72247246068.906036</v>
      </c>
      <c r="Y13" s="72">
        <f t="shared" si="9"/>
        <v>1400500821164.6865</v>
      </c>
      <c r="Z13" s="67"/>
    </row>
    <row r="14" spans="1:26" s="76" customFormat="1" ht="24.75" customHeight="1" x14ac:dyDescent="0.25">
      <c r="A14" s="103"/>
      <c r="B14" s="73"/>
      <c r="C14" s="73"/>
      <c r="D14" s="73"/>
      <c r="E14" s="73"/>
      <c r="F14" s="74"/>
      <c r="G14" s="75"/>
      <c r="H14" s="74"/>
      <c r="I14" s="74"/>
      <c r="J14" s="74"/>
      <c r="K14" s="74"/>
      <c r="L14" s="74"/>
      <c r="M14" s="74"/>
      <c r="N14" s="74"/>
      <c r="O14" s="74"/>
      <c r="P14" s="74"/>
      <c r="Q14" s="74"/>
      <c r="R14" s="74"/>
      <c r="S14" s="74"/>
      <c r="T14" s="74"/>
      <c r="U14" s="74"/>
      <c r="V14" s="74"/>
      <c r="W14" s="74"/>
      <c r="X14" s="74"/>
      <c r="Y14" s="74"/>
      <c r="Z14" s="74"/>
    </row>
    <row r="15" spans="1:26" s="103" customFormat="1" ht="14.45" customHeight="1" x14ac:dyDescent="0.25">
      <c r="B15" s="717" t="str">
        <f>B8</f>
        <v>3.1. Promoción y fortalecimiento de organizaciones de economía solidaria en la cadena de maíz.</v>
      </c>
      <c r="C15" s="718"/>
      <c r="D15" s="718"/>
      <c r="E15" s="718"/>
      <c r="F15" s="718"/>
      <c r="G15" s="718"/>
      <c r="H15" s="718"/>
      <c r="I15" s="316"/>
      <c r="X15" s="78"/>
    </row>
    <row r="16" spans="1:26" s="103" customFormat="1" ht="14.45" customHeight="1" x14ac:dyDescent="0.25">
      <c r="B16" s="719"/>
      <c r="C16" s="719"/>
      <c r="D16" s="719"/>
      <c r="E16" s="719"/>
      <c r="F16" s="719"/>
      <c r="G16" s="719"/>
      <c r="H16" s="719"/>
      <c r="I16" s="316"/>
      <c r="X16" s="78"/>
    </row>
    <row r="17" spans="2:24" ht="15" x14ac:dyDescent="0.25">
      <c r="B17" s="79" t="s">
        <v>79</v>
      </c>
      <c r="C17" s="79" t="s">
        <v>59</v>
      </c>
      <c r="D17" s="79" t="s">
        <v>56</v>
      </c>
      <c r="E17" s="79" t="s">
        <v>55</v>
      </c>
      <c r="F17" s="80" t="s">
        <v>108</v>
      </c>
      <c r="G17" s="79" t="s">
        <v>81</v>
      </c>
      <c r="H17" s="79" t="s">
        <v>82</v>
      </c>
      <c r="X17" s="81"/>
    </row>
    <row r="18" spans="2:24" x14ac:dyDescent="0.2">
      <c r="B18" s="104" t="s">
        <v>240</v>
      </c>
      <c r="C18" s="54">
        <v>10</v>
      </c>
      <c r="D18" s="104" t="s">
        <v>84</v>
      </c>
      <c r="E18" s="45">
        <v>500000</v>
      </c>
      <c r="F18" s="104"/>
      <c r="G18" s="104"/>
      <c r="H18" s="147">
        <f t="shared" ref="H18:H25" si="10">+E18*C18</f>
        <v>5000000</v>
      </c>
      <c r="J18" s="53"/>
    </row>
    <row r="19" spans="2:24" x14ac:dyDescent="0.2">
      <c r="B19" s="104" t="s">
        <v>238</v>
      </c>
      <c r="C19" s="54">
        <v>10</v>
      </c>
      <c r="D19" s="104" t="s">
        <v>84</v>
      </c>
      <c r="E19" s="45">
        <v>100000</v>
      </c>
      <c r="F19" s="104"/>
      <c r="G19" s="104"/>
      <c r="H19" s="147">
        <f t="shared" si="10"/>
        <v>1000000</v>
      </c>
      <c r="J19" s="53"/>
    </row>
    <row r="20" spans="2:24" x14ac:dyDescent="0.2">
      <c r="B20" s="104" t="s">
        <v>245</v>
      </c>
      <c r="C20" s="54">
        <f>10*2</f>
        <v>20</v>
      </c>
      <c r="D20" s="104" t="s">
        <v>84</v>
      </c>
      <c r="E20" s="45">
        <v>2300000</v>
      </c>
      <c r="F20" s="104"/>
      <c r="G20" s="104"/>
      <c r="H20" s="147">
        <f t="shared" si="10"/>
        <v>46000000</v>
      </c>
      <c r="J20" s="53"/>
    </row>
    <row r="21" spans="2:24" x14ac:dyDescent="0.2">
      <c r="B21" s="104" t="s">
        <v>246</v>
      </c>
      <c r="C21" s="54">
        <v>20</v>
      </c>
      <c r="D21" s="104" t="s">
        <v>84</v>
      </c>
      <c r="E21" s="45">
        <v>460000</v>
      </c>
      <c r="F21" s="104"/>
      <c r="G21" s="104"/>
      <c r="H21" s="147">
        <f t="shared" si="10"/>
        <v>9200000</v>
      </c>
      <c r="J21" s="53"/>
    </row>
    <row r="22" spans="2:24" x14ac:dyDescent="0.2">
      <c r="B22" s="104" t="s">
        <v>242</v>
      </c>
      <c r="C22" s="54">
        <v>10</v>
      </c>
      <c r="D22" s="104" t="s">
        <v>84</v>
      </c>
      <c r="E22" s="109">
        <v>3270000</v>
      </c>
      <c r="F22" s="104"/>
      <c r="G22" s="104"/>
      <c r="H22" s="147">
        <f t="shared" si="10"/>
        <v>32700000</v>
      </c>
      <c r="J22" s="53"/>
    </row>
    <row r="23" spans="2:24" x14ac:dyDescent="0.2">
      <c r="B23" s="104" t="s">
        <v>87</v>
      </c>
      <c r="C23" s="54">
        <v>10</v>
      </c>
      <c r="D23" s="104" t="s">
        <v>76</v>
      </c>
      <c r="E23" s="109">
        <v>6000000</v>
      </c>
      <c r="F23" s="104"/>
      <c r="G23" s="104"/>
      <c r="H23" s="147">
        <f t="shared" si="10"/>
        <v>60000000</v>
      </c>
      <c r="J23" s="53"/>
    </row>
    <row r="24" spans="2:24" x14ac:dyDescent="0.2">
      <c r="B24" s="104" t="s">
        <v>88</v>
      </c>
      <c r="C24" s="54">
        <v>10</v>
      </c>
      <c r="D24" s="104" t="s">
        <v>76</v>
      </c>
      <c r="E24" s="109">
        <v>1800000</v>
      </c>
      <c r="F24" s="104"/>
      <c r="G24" s="104"/>
      <c r="H24" s="147">
        <f t="shared" si="10"/>
        <v>18000000</v>
      </c>
      <c r="J24" s="53"/>
    </row>
    <row r="25" spans="2:24" s="103" customFormat="1" x14ac:dyDescent="0.2">
      <c r="B25" s="49" t="s">
        <v>188</v>
      </c>
      <c r="C25" s="137">
        <v>10</v>
      </c>
      <c r="D25" s="49" t="s">
        <v>84</v>
      </c>
      <c r="E25" s="150">
        <v>14500000</v>
      </c>
      <c r="F25" s="49"/>
      <c r="G25" s="49"/>
      <c r="H25" s="151">
        <f t="shared" si="10"/>
        <v>145000000</v>
      </c>
      <c r="J25" s="138"/>
    </row>
    <row r="26" spans="2:24" s="103" customFormat="1" x14ac:dyDescent="0.2">
      <c r="B26" s="49" t="s">
        <v>232</v>
      </c>
      <c r="C26" s="137">
        <v>10</v>
      </c>
      <c r="D26" s="49" t="s">
        <v>84</v>
      </c>
      <c r="E26" s="150">
        <v>5000000</v>
      </c>
      <c r="F26" s="49"/>
      <c r="G26" s="49"/>
      <c r="H26" s="151">
        <f>+E26*C26</f>
        <v>50000000</v>
      </c>
      <c r="J26" s="138"/>
    </row>
    <row r="27" spans="2:24" x14ac:dyDescent="0.2">
      <c r="B27" s="104" t="s">
        <v>90</v>
      </c>
      <c r="C27" s="54">
        <v>2</v>
      </c>
      <c r="D27" s="104" t="s">
        <v>267</v>
      </c>
      <c r="E27" s="45">
        <v>8963563</v>
      </c>
      <c r="F27" s="98"/>
      <c r="G27" s="104">
        <v>10</v>
      </c>
      <c r="H27" s="147">
        <f>C27*E27*G27</f>
        <v>179271260</v>
      </c>
      <c r="I27" s="148"/>
      <c r="J27" s="138"/>
    </row>
    <row r="28" spans="2:24" x14ac:dyDescent="0.2">
      <c r="B28" s="104" t="s">
        <v>241</v>
      </c>
      <c r="C28" s="54">
        <v>10</v>
      </c>
      <c r="D28" s="104" t="s">
        <v>267</v>
      </c>
      <c r="E28" s="109">
        <v>856561</v>
      </c>
      <c r="F28" s="98"/>
      <c r="G28" s="104"/>
      <c r="H28" s="147">
        <f>C28*E28</f>
        <v>8565610</v>
      </c>
      <c r="J28" s="53"/>
    </row>
    <row r="29" spans="2:24" x14ac:dyDescent="0.2">
      <c r="B29" s="104" t="s">
        <v>243</v>
      </c>
      <c r="C29" s="55">
        <v>10</v>
      </c>
      <c r="D29" s="104" t="s">
        <v>267</v>
      </c>
      <c r="E29" s="45">
        <v>6604729</v>
      </c>
      <c r="F29" s="98">
        <v>0.5</v>
      </c>
      <c r="G29" s="104">
        <v>10</v>
      </c>
      <c r="H29" s="147">
        <f>C29*E29*G29*F29</f>
        <v>330236450</v>
      </c>
      <c r="I29" s="148"/>
      <c r="J29" s="138"/>
    </row>
    <row r="30" spans="2:24" x14ac:dyDescent="0.2">
      <c r="B30" s="82" t="s">
        <v>57</v>
      </c>
      <c r="C30" s="55">
        <v>10</v>
      </c>
      <c r="D30" s="104" t="s">
        <v>267</v>
      </c>
      <c r="E30" s="109">
        <v>1300000</v>
      </c>
      <c r="F30" s="98">
        <v>0.5</v>
      </c>
      <c r="G30" s="104">
        <v>10</v>
      </c>
      <c r="H30" s="147">
        <f t="shared" ref="H30:H31" si="11">C30*E30*G30*F30</f>
        <v>65000000</v>
      </c>
      <c r="I30" s="148"/>
      <c r="J30" s="138"/>
    </row>
    <row r="31" spans="2:24" x14ac:dyDescent="0.2">
      <c r="B31" s="104" t="s">
        <v>194</v>
      </c>
      <c r="C31" s="54">
        <v>10</v>
      </c>
      <c r="D31" s="104" t="s">
        <v>267</v>
      </c>
      <c r="E31" s="109">
        <v>155000</v>
      </c>
      <c r="F31" s="98">
        <v>0.5</v>
      </c>
      <c r="G31" s="104">
        <v>10</v>
      </c>
      <c r="H31" s="147">
        <f t="shared" si="11"/>
        <v>7750000</v>
      </c>
      <c r="J31" s="53"/>
    </row>
    <row r="32" spans="2:24" ht="15" x14ac:dyDescent="0.25">
      <c r="B32" s="104" t="s">
        <v>421</v>
      </c>
      <c r="C32" s="54">
        <v>10</v>
      </c>
      <c r="D32" s="104"/>
      <c r="E32" s="109">
        <v>500000000</v>
      </c>
      <c r="F32" s="98"/>
      <c r="G32" s="370">
        <v>0.1</v>
      </c>
      <c r="H32" s="147">
        <f>C32*E32*G32</f>
        <v>500000000</v>
      </c>
      <c r="I32" s="99" t="s">
        <v>174</v>
      </c>
      <c r="J32" s="53"/>
    </row>
    <row r="33" spans="1:11" ht="15" x14ac:dyDescent="0.25">
      <c r="B33" s="86" t="s">
        <v>409</v>
      </c>
      <c r="C33" s="87"/>
      <c r="D33" s="87"/>
      <c r="E33" s="88"/>
      <c r="F33" s="88"/>
      <c r="G33" s="87"/>
      <c r="H33" s="99">
        <f>SUM(H18:H31)</f>
        <v>957723320</v>
      </c>
      <c r="I33" s="99">
        <f>H33/12</f>
        <v>79810276.666666672</v>
      </c>
      <c r="J33" s="138"/>
      <c r="K33" s="148"/>
    </row>
    <row r="34" spans="1:11" s="314" customFormat="1" ht="15" x14ac:dyDescent="0.25">
      <c r="B34" s="335" t="s">
        <v>376</v>
      </c>
      <c r="H34" s="335">
        <f>H33+H32</f>
        <v>1457723320</v>
      </c>
      <c r="I34" s="148"/>
      <c r="J34" s="138"/>
      <c r="K34" s="148"/>
    </row>
    <row r="35" spans="1:11" s="103" customFormat="1" ht="196.5" customHeight="1" x14ac:dyDescent="0.2">
      <c r="B35" s="219" t="s">
        <v>422</v>
      </c>
      <c r="C35" s="314"/>
      <c r="D35" s="314"/>
      <c r="E35" s="314"/>
      <c r="F35" s="314"/>
      <c r="G35" s="314"/>
      <c r="H35" s="148"/>
      <c r="I35" s="148"/>
      <c r="J35" s="148"/>
      <c r="K35" s="148"/>
    </row>
    <row r="36" spans="1:11" x14ac:dyDescent="0.2">
      <c r="B36" s="314"/>
      <c r="C36" s="314"/>
      <c r="D36" s="314"/>
      <c r="E36" s="314"/>
      <c r="F36" s="314"/>
      <c r="G36" s="314"/>
      <c r="H36" s="103"/>
      <c r="I36" s="103"/>
    </row>
    <row r="37" spans="1:11" ht="15" x14ac:dyDescent="0.25">
      <c r="B37" s="314"/>
      <c r="C37" s="314"/>
      <c r="D37" s="314"/>
      <c r="E37" s="314"/>
      <c r="F37" s="314"/>
      <c r="G37" s="314"/>
      <c r="H37" s="314"/>
      <c r="I37" s="91"/>
    </row>
    <row r="38" spans="1:11" s="103" customFormat="1" ht="14.45" customHeight="1" x14ac:dyDescent="0.25">
      <c r="A38" s="92"/>
      <c r="B38" s="717" t="str">
        <f>+B9</f>
        <v>3.2. Promoción de la integración y las alianzas estratégicas regionales en la cadena de maíz.</v>
      </c>
      <c r="C38" s="717"/>
      <c r="D38" s="717"/>
      <c r="E38" s="717"/>
      <c r="F38" s="717"/>
      <c r="G38" s="717"/>
      <c r="H38" s="717"/>
    </row>
    <row r="39" spans="1:11" hidden="1" x14ac:dyDescent="0.2">
      <c r="B39" s="314"/>
      <c r="C39" s="314"/>
      <c r="D39" s="314"/>
      <c r="E39" s="314"/>
      <c r="F39" s="314"/>
      <c r="G39" s="314"/>
      <c r="H39" s="314"/>
    </row>
    <row r="40" spans="1:11" ht="15" x14ac:dyDescent="0.25">
      <c r="B40" s="79" t="s">
        <v>79</v>
      </c>
      <c r="C40" s="79" t="s">
        <v>59</v>
      </c>
      <c r="D40" s="79" t="s">
        <v>56</v>
      </c>
      <c r="E40" s="79" t="s">
        <v>55</v>
      </c>
      <c r="F40" s="79" t="s">
        <v>80</v>
      </c>
      <c r="G40" s="79" t="s">
        <v>81</v>
      </c>
      <c r="H40" s="79" t="s">
        <v>82</v>
      </c>
    </row>
    <row r="41" spans="1:11" s="103" customFormat="1" x14ac:dyDescent="0.2">
      <c r="A41" s="93"/>
      <c r="B41" s="105" t="s">
        <v>247</v>
      </c>
      <c r="C41" s="105">
        <v>10</v>
      </c>
      <c r="D41" s="105" t="s">
        <v>84</v>
      </c>
      <c r="E41" s="82">
        <v>500000</v>
      </c>
      <c r="F41" s="105"/>
      <c r="G41" s="105"/>
      <c r="H41" s="147">
        <f>+E41*C41</f>
        <v>5000000</v>
      </c>
      <c r="I41" s="85"/>
      <c r="J41" s="53"/>
    </row>
    <row r="42" spans="1:11" s="103" customFormat="1" x14ac:dyDescent="0.2">
      <c r="A42" s="93"/>
      <c r="B42" s="105" t="s">
        <v>85</v>
      </c>
      <c r="C42" s="105">
        <v>10</v>
      </c>
      <c r="D42" s="105" t="s">
        <v>84</v>
      </c>
      <c r="E42" s="82">
        <v>100000</v>
      </c>
      <c r="F42" s="105"/>
      <c r="G42" s="105"/>
      <c r="H42" s="147">
        <f t="shared" ref="H42:H48" si="12">+E42*C42</f>
        <v>1000000</v>
      </c>
      <c r="I42" s="85"/>
      <c r="J42" s="138"/>
    </row>
    <row r="43" spans="1:11" s="103" customFormat="1" x14ac:dyDescent="0.2">
      <c r="A43" s="93"/>
      <c r="B43" s="398" t="s">
        <v>245</v>
      </c>
      <c r="C43" s="105">
        <f>2*2*4</f>
        <v>16</v>
      </c>
      <c r="D43" s="105" t="s">
        <v>84</v>
      </c>
      <c r="E43" s="82">
        <v>2300000</v>
      </c>
      <c r="F43" s="105"/>
      <c r="G43" s="105"/>
      <c r="H43" s="147">
        <f t="shared" si="12"/>
        <v>36800000</v>
      </c>
      <c r="I43" s="44"/>
      <c r="J43" s="138"/>
    </row>
    <row r="44" spans="1:11" s="103" customFormat="1" x14ac:dyDescent="0.2">
      <c r="A44" s="93"/>
      <c r="B44" s="105" t="s">
        <v>246</v>
      </c>
      <c r="C44" s="105">
        <v>8</v>
      </c>
      <c r="D44" s="105" t="s">
        <v>84</v>
      </c>
      <c r="E44" s="82">
        <v>460000</v>
      </c>
      <c r="F44" s="105"/>
      <c r="G44" s="105"/>
      <c r="H44" s="147">
        <f t="shared" si="12"/>
        <v>3680000</v>
      </c>
      <c r="I44" s="44"/>
      <c r="J44" s="138"/>
    </row>
    <row r="45" spans="1:11" s="103" customFormat="1" x14ac:dyDescent="0.2">
      <c r="B45" s="398" t="s">
        <v>250</v>
      </c>
      <c r="C45" s="105">
        <f>2*4</f>
        <v>8</v>
      </c>
      <c r="D45" s="105" t="s">
        <v>76</v>
      </c>
      <c r="E45" s="82">
        <v>6000000</v>
      </c>
      <c r="F45" s="105"/>
      <c r="G45" s="105"/>
      <c r="H45" s="147">
        <f t="shared" si="12"/>
        <v>48000000</v>
      </c>
      <c r="I45" s="44"/>
      <c r="J45" s="138"/>
    </row>
    <row r="46" spans="1:11" s="103" customFormat="1" x14ac:dyDescent="0.2">
      <c r="B46" s="398" t="s">
        <v>88</v>
      </c>
      <c r="C46" s="105">
        <v>8</v>
      </c>
      <c r="D46" s="105" t="s">
        <v>76</v>
      </c>
      <c r="E46" s="82">
        <v>1800000</v>
      </c>
      <c r="F46" s="105"/>
      <c r="G46" s="105"/>
      <c r="H46" s="147">
        <f t="shared" si="12"/>
        <v>14400000</v>
      </c>
      <c r="I46" s="44"/>
      <c r="J46" s="138"/>
    </row>
    <row r="47" spans="1:11" s="103" customFormat="1" x14ac:dyDescent="0.2">
      <c r="A47" s="93"/>
      <c r="B47" s="105" t="s">
        <v>252</v>
      </c>
      <c r="C47" s="105">
        <f>5*4</f>
        <v>20</v>
      </c>
      <c r="D47" s="105" t="s">
        <v>84</v>
      </c>
      <c r="E47" s="82">
        <v>3000000</v>
      </c>
      <c r="F47" s="105"/>
      <c r="G47" s="105"/>
      <c r="H47" s="147">
        <f t="shared" si="12"/>
        <v>60000000</v>
      </c>
      <c r="I47" s="84"/>
      <c r="J47" s="138"/>
    </row>
    <row r="48" spans="1:11" s="103" customFormat="1" x14ac:dyDescent="0.2">
      <c r="A48" s="93"/>
      <c r="B48" s="105" t="s">
        <v>253</v>
      </c>
      <c r="C48" s="105">
        <v>20</v>
      </c>
      <c r="D48" s="105" t="s">
        <v>84</v>
      </c>
      <c r="E48" s="82">
        <v>900000</v>
      </c>
      <c r="F48" s="105"/>
      <c r="G48" s="105"/>
      <c r="H48" s="147">
        <f t="shared" si="12"/>
        <v>18000000</v>
      </c>
      <c r="I48" s="84"/>
      <c r="J48" s="138"/>
    </row>
    <row r="49" spans="1:10" x14ac:dyDescent="0.2">
      <c r="B49" s="105" t="s">
        <v>188</v>
      </c>
      <c r="C49" s="105">
        <v>10</v>
      </c>
      <c r="D49" s="105" t="s">
        <v>84</v>
      </c>
      <c r="E49" s="95">
        <v>14500000</v>
      </c>
      <c r="F49" s="209"/>
      <c r="G49" s="105"/>
      <c r="H49" s="147">
        <f>C49*E49</f>
        <v>145000000</v>
      </c>
      <c r="I49" s="44"/>
      <c r="J49" s="138"/>
    </row>
    <row r="50" spans="1:10" x14ac:dyDescent="0.2">
      <c r="B50" s="105" t="s">
        <v>232</v>
      </c>
      <c r="C50" s="105">
        <v>10</v>
      </c>
      <c r="D50" s="105" t="s">
        <v>84</v>
      </c>
      <c r="E50" s="82">
        <v>5000000</v>
      </c>
      <c r="F50" s="105"/>
      <c r="G50" s="105"/>
      <c r="H50" s="147">
        <f>C50*E50</f>
        <v>50000000</v>
      </c>
      <c r="I50" s="44"/>
      <c r="J50" s="53"/>
    </row>
    <row r="51" spans="1:10" s="103" customFormat="1" x14ac:dyDescent="0.2">
      <c r="A51" s="93"/>
      <c r="B51" s="105" t="s">
        <v>251</v>
      </c>
      <c r="C51" s="105">
        <v>20</v>
      </c>
      <c r="D51" s="105" t="s">
        <v>84</v>
      </c>
      <c r="E51" s="82">
        <v>52200000</v>
      </c>
      <c r="F51" s="105"/>
      <c r="G51" s="105"/>
      <c r="H51" s="147">
        <f>C51*E51</f>
        <v>1044000000</v>
      </c>
      <c r="I51" s="44"/>
      <c r="J51" s="53"/>
    </row>
    <row r="52" spans="1:10" s="103" customFormat="1" x14ac:dyDescent="0.2">
      <c r="A52" s="93"/>
      <c r="B52" s="105" t="s">
        <v>94</v>
      </c>
      <c r="C52" s="105">
        <v>20</v>
      </c>
      <c r="D52" s="105" t="s">
        <v>84</v>
      </c>
      <c r="E52" s="82">
        <v>20000000</v>
      </c>
      <c r="F52" s="105"/>
      <c r="G52" s="105"/>
      <c r="H52" s="147">
        <f>C52*E52</f>
        <v>400000000</v>
      </c>
      <c r="I52" s="44"/>
      <c r="J52" s="138"/>
    </row>
    <row r="53" spans="1:10" s="103" customFormat="1" x14ac:dyDescent="0.2">
      <c r="A53" s="93"/>
      <c r="B53" s="398" t="s">
        <v>230</v>
      </c>
      <c r="C53" s="105">
        <v>2</v>
      </c>
      <c r="D53" s="105" t="s">
        <v>261</v>
      </c>
      <c r="E53" s="82">
        <v>8963563</v>
      </c>
      <c r="F53" s="209"/>
      <c r="G53" s="105">
        <f>+G27</f>
        <v>10</v>
      </c>
      <c r="H53" s="147">
        <f>C53*E53*G53</f>
        <v>179271260</v>
      </c>
      <c r="I53" s="44"/>
      <c r="J53" s="138"/>
    </row>
    <row r="54" spans="1:10" s="103" customFormat="1" x14ac:dyDescent="0.2">
      <c r="A54" s="93"/>
      <c r="B54" s="105" t="s">
        <v>248</v>
      </c>
      <c r="C54" s="105">
        <f>+(2*2*4)</f>
        <v>16</v>
      </c>
      <c r="D54" s="105" t="s">
        <v>261</v>
      </c>
      <c r="E54" s="82">
        <v>856561</v>
      </c>
      <c r="F54" s="105"/>
      <c r="G54" s="105"/>
      <c r="H54" s="147">
        <f>+E54*C54</f>
        <v>13704976</v>
      </c>
      <c r="I54" s="44"/>
      <c r="J54" s="138"/>
    </row>
    <row r="55" spans="1:10" s="103" customFormat="1" x14ac:dyDescent="0.2">
      <c r="B55" s="105" t="s">
        <v>249</v>
      </c>
      <c r="C55" s="105">
        <v>10</v>
      </c>
      <c r="D55" s="105" t="s">
        <v>261</v>
      </c>
      <c r="E55" s="82">
        <v>6604729</v>
      </c>
      <c r="F55" s="209">
        <v>0.5</v>
      </c>
      <c r="G55" s="105">
        <v>10</v>
      </c>
      <c r="H55" s="147">
        <f>+E55*C55*G55*F55</f>
        <v>330236450</v>
      </c>
      <c r="I55" s="84"/>
      <c r="J55" s="138"/>
    </row>
    <row r="56" spans="1:10" x14ac:dyDescent="0.2">
      <c r="B56" s="82" t="s">
        <v>57</v>
      </c>
      <c r="C56" s="105">
        <v>10</v>
      </c>
      <c r="D56" s="105" t="s">
        <v>261</v>
      </c>
      <c r="E56" s="95">
        <v>1300000</v>
      </c>
      <c r="F56" s="209">
        <v>0.5</v>
      </c>
      <c r="G56" s="105">
        <v>10</v>
      </c>
      <c r="H56" s="147">
        <f>+E56*C56*F56*G56</f>
        <v>65000000</v>
      </c>
      <c r="I56" s="44"/>
      <c r="J56" s="138"/>
    </row>
    <row r="57" spans="1:10" x14ac:dyDescent="0.2">
      <c r="B57" s="82" t="s">
        <v>194</v>
      </c>
      <c r="C57" s="105">
        <v>10</v>
      </c>
      <c r="D57" s="105" t="s">
        <v>261</v>
      </c>
      <c r="E57" s="95">
        <v>155000</v>
      </c>
      <c r="F57" s="209">
        <v>0.5</v>
      </c>
      <c r="G57" s="105">
        <v>10</v>
      </c>
      <c r="H57" s="147">
        <f>C57*E57*F57*G57</f>
        <v>7750000</v>
      </c>
      <c r="J57" s="53"/>
    </row>
    <row r="58" spans="1:10" x14ac:dyDescent="0.2">
      <c r="B58" s="82" t="s">
        <v>410</v>
      </c>
      <c r="C58" s="105"/>
      <c r="D58" s="105"/>
      <c r="E58" s="95"/>
      <c r="F58" s="209"/>
      <c r="G58" s="105"/>
      <c r="H58" s="147" t="s">
        <v>78</v>
      </c>
      <c r="J58" s="53"/>
    </row>
    <row r="59" spans="1:10" ht="15" x14ac:dyDescent="0.25">
      <c r="B59" s="82" t="s">
        <v>423</v>
      </c>
      <c r="C59" s="105"/>
      <c r="D59" s="105"/>
      <c r="E59" s="95"/>
      <c r="F59" s="209"/>
      <c r="G59" s="105"/>
      <c r="H59" s="147" t="s">
        <v>78</v>
      </c>
      <c r="I59" s="99" t="s">
        <v>174</v>
      </c>
      <c r="J59" s="53"/>
    </row>
    <row r="60" spans="1:10" ht="15" x14ac:dyDescent="0.25">
      <c r="B60" s="86" t="s">
        <v>262</v>
      </c>
      <c r="C60" s="87"/>
      <c r="D60" s="87"/>
      <c r="E60" s="88"/>
      <c r="F60" s="88"/>
      <c r="G60" s="87"/>
      <c r="H60" s="99">
        <f>SUM(H41:H57)</f>
        <v>2421842686</v>
      </c>
      <c r="I60" s="99">
        <f>H60/12</f>
        <v>201820223.83333334</v>
      </c>
      <c r="J60" s="53"/>
    </row>
    <row r="61" spans="1:10" s="103" customFormat="1" ht="260.45" hidden="1" customHeight="1" x14ac:dyDescent="0.2">
      <c r="B61" s="100" t="s">
        <v>97</v>
      </c>
      <c r="C61" s="314"/>
      <c r="D61" s="314"/>
      <c r="E61" s="314"/>
      <c r="F61" s="314"/>
      <c r="G61" s="314"/>
      <c r="H61" s="314"/>
      <c r="J61" s="53">
        <v>1846986450</v>
      </c>
    </row>
    <row r="62" spans="1:10" s="103" customFormat="1" ht="15" x14ac:dyDescent="0.25">
      <c r="B62" s="142" t="s">
        <v>263</v>
      </c>
      <c r="C62" s="152"/>
      <c r="D62" s="152"/>
      <c r="E62" s="152"/>
      <c r="F62" s="152"/>
      <c r="G62" s="153"/>
      <c r="H62" s="154">
        <f>(H51+H52)+H55+H56+H57</f>
        <v>1846986450</v>
      </c>
      <c r="I62" s="102"/>
      <c r="J62" s="53"/>
    </row>
    <row r="63" spans="1:10" s="103" customFormat="1" x14ac:dyDescent="0.2">
      <c r="B63" s="100"/>
      <c r="C63" s="314"/>
      <c r="D63" s="314"/>
      <c r="E63" s="314"/>
      <c r="F63" s="314"/>
      <c r="G63" s="102"/>
      <c r="H63" s="102"/>
      <c r="I63" s="102"/>
      <c r="J63" s="102"/>
    </row>
    <row r="64" spans="1:10" ht="280.5" customHeight="1" x14ac:dyDescent="0.2">
      <c r="B64" s="219" t="s">
        <v>424</v>
      </c>
      <c r="C64" s="103"/>
      <c r="D64" s="103"/>
      <c r="E64" s="103"/>
      <c r="F64" s="78"/>
    </row>
    <row r="65" spans="1:10" x14ac:dyDescent="0.2">
      <c r="B65" s="103"/>
      <c r="C65" s="103"/>
      <c r="D65" s="103"/>
      <c r="E65" s="103"/>
      <c r="F65" s="103"/>
    </row>
    <row r="66" spans="1:10" ht="15" x14ac:dyDescent="0.25">
      <c r="B66" s="314"/>
      <c r="C66" s="314"/>
      <c r="D66" s="314"/>
      <c r="E66" s="314"/>
      <c r="F66" s="314"/>
      <c r="G66" s="314"/>
      <c r="H66" s="314"/>
      <c r="I66" s="91"/>
    </row>
    <row r="67" spans="1:10" s="103" customFormat="1" ht="14.45" customHeight="1" x14ac:dyDescent="0.25">
      <c r="A67" s="92"/>
      <c r="B67" s="717" t="str">
        <f>+B10</f>
        <v>3.3. Aumento de la capacidad instalada regional para el secamiento, almacenamiento, y  procesamiento agroindustrial de maíz.</v>
      </c>
      <c r="C67" s="718"/>
      <c r="D67" s="718"/>
      <c r="E67" s="718"/>
      <c r="F67" s="718"/>
      <c r="G67" s="718"/>
      <c r="H67" s="718"/>
    </row>
    <row r="68" spans="1:10" hidden="1" x14ac:dyDescent="0.2">
      <c r="B68" s="314"/>
      <c r="C68" s="314"/>
      <c r="D68" s="314"/>
      <c r="E68" s="314"/>
      <c r="F68" s="314"/>
      <c r="G68" s="314"/>
      <c r="H68" s="314"/>
    </row>
    <row r="69" spans="1:10" ht="15" x14ac:dyDescent="0.25">
      <c r="B69" s="79" t="s">
        <v>79</v>
      </c>
      <c r="C69" s="79" t="s">
        <v>59</v>
      </c>
      <c r="D69" s="79" t="s">
        <v>56</v>
      </c>
      <c r="E69" s="79" t="s">
        <v>55</v>
      </c>
      <c r="F69" s="79" t="s">
        <v>80</v>
      </c>
      <c r="G69" s="79" t="s">
        <v>81</v>
      </c>
      <c r="H69" s="79" t="s">
        <v>82</v>
      </c>
      <c r="J69" s="138"/>
    </row>
    <row r="70" spans="1:10" s="103" customFormat="1" x14ac:dyDescent="0.2">
      <c r="A70" s="93"/>
      <c r="B70" s="315" t="s">
        <v>254</v>
      </c>
      <c r="C70" s="104">
        <v>30</v>
      </c>
      <c r="D70" s="104" t="s">
        <v>84</v>
      </c>
      <c r="E70" s="383">
        <v>500000</v>
      </c>
      <c r="F70" s="104"/>
      <c r="G70" s="104"/>
      <c r="H70" s="147">
        <f>+E70*C70</f>
        <v>15000000</v>
      </c>
      <c r="I70" s="44"/>
      <c r="J70" s="138"/>
    </row>
    <row r="71" spans="1:10" s="103" customFormat="1" x14ac:dyDescent="0.2">
      <c r="A71" s="93"/>
      <c r="B71" s="315" t="s">
        <v>85</v>
      </c>
      <c r="C71" s="104">
        <v>30</v>
      </c>
      <c r="D71" s="104" t="s">
        <v>84</v>
      </c>
      <c r="E71" s="383">
        <v>100000</v>
      </c>
      <c r="F71" s="104"/>
      <c r="G71" s="104"/>
      <c r="H71" s="147">
        <f t="shared" ref="H71:H76" si="13">+E71*C71</f>
        <v>3000000</v>
      </c>
      <c r="I71" s="44"/>
      <c r="J71" s="138"/>
    </row>
    <row r="72" spans="1:10" s="103" customFormat="1" x14ac:dyDescent="0.2">
      <c r="A72" s="93"/>
      <c r="B72" s="315" t="s">
        <v>245</v>
      </c>
      <c r="C72" s="105">
        <v>40</v>
      </c>
      <c r="D72" s="104" t="s">
        <v>84</v>
      </c>
      <c r="E72" s="383">
        <v>2300000</v>
      </c>
      <c r="F72" s="104"/>
      <c r="G72" s="104"/>
      <c r="H72" s="147">
        <f t="shared" si="13"/>
        <v>92000000</v>
      </c>
      <c r="I72" s="44"/>
      <c r="J72" s="138"/>
    </row>
    <row r="73" spans="1:10" s="103" customFormat="1" x14ac:dyDescent="0.2">
      <c r="A73" s="93"/>
      <c r="B73" s="315" t="s">
        <v>246</v>
      </c>
      <c r="C73" s="105">
        <v>40</v>
      </c>
      <c r="D73" s="104" t="s">
        <v>84</v>
      </c>
      <c r="E73" s="383">
        <v>460000</v>
      </c>
      <c r="F73" s="104"/>
      <c r="G73" s="104"/>
      <c r="H73" s="147">
        <f t="shared" si="13"/>
        <v>18400000</v>
      </c>
      <c r="I73" s="44"/>
      <c r="J73" s="138"/>
    </row>
    <row r="74" spans="1:10" s="103" customFormat="1" x14ac:dyDescent="0.2">
      <c r="A74" s="93"/>
      <c r="B74" s="315" t="s">
        <v>255</v>
      </c>
      <c r="C74" s="105">
        <v>10</v>
      </c>
      <c r="D74" s="104" t="s">
        <v>84</v>
      </c>
      <c r="E74" s="383">
        <v>3270000</v>
      </c>
      <c r="F74" s="104"/>
      <c r="G74" s="104"/>
      <c r="H74" s="147">
        <f t="shared" si="13"/>
        <v>32700000</v>
      </c>
      <c r="I74" s="44"/>
      <c r="J74" s="138"/>
    </row>
    <row r="75" spans="1:10" s="103" customFormat="1" x14ac:dyDescent="0.2">
      <c r="A75" s="93"/>
      <c r="B75" s="315" t="s">
        <v>250</v>
      </c>
      <c r="C75" s="105">
        <v>10</v>
      </c>
      <c r="D75" s="104" t="s">
        <v>76</v>
      </c>
      <c r="E75" s="383">
        <v>6000000</v>
      </c>
      <c r="F75" s="104"/>
      <c r="G75" s="104"/>
      <c r="H75" s="147">
        <f t="shared" si="13"/>
        <v>60000000</v>
      </c>
      <c r="I75" s="44"/>
      <c r="J75" s="138"/>
    </row>
    <row r="76" spans="1:10" s="103" customFormat="1" x14ac:dyDescent="0.2">
      <c r="A76" s="93"/>
      <c r="B76" s="315" t="s">
        <v>88</v>
      </c>
      <c r="C76" s="105">
        <v>10</v>
      </c>
      <c r="D76" s="104" t="s">
        <v>76</v>
      </c>
      <c r="E76" s="383">
        <v>1800000</v>
      </c>
      <c r="F76" s="104"/>
      <c r="G76" s="104"/>
      <c r="H76" s="147">
        <f t="shared" si="13"/>
        <v>18000000</v>
      </c>
      <c r="I76" s="44"/>
      <c r="J76" s="138"/>
    </row>
    <row r="77" spans="1:10" s="103" customFormat="1" x14ac:dyDescent="0.2">
      <c r="A77" s="93"/>
      <c r="B77" s="104" t="s">
        <v>416</v>
      </c>
      <c r="C77" s="149">
        <v>15789.473684210527</v>
      </c>
      <c r="D77" s="104" t="s">
        <v>444</v>
      </c>
      <c r="E77" s="383">
        <v>3621410.9729175004</v>
      </c>
      <c r="F77" s="98">
        <v>0.2</v>
      </c>
      <c r="G77" s="104"/>
      <c r="H77" s="147">
        <f>C77*E77*F77</f>
        <v>11436034651.318422</v>
      </c>
      <c r="I77" s="44"/>
      <c r="J77" s="138"/>
    </row>
    <row r="78" spans="1:10" s="103" customFormat="1" x14ac:dyDescent="0.2">
      <c r="A78" s="93"/>
      <c r="B78" s="104" t="s">
        <v>417</v>
      </c>
      <c r="C78" s="149">
        <v>63157.894736842107</v>
      </c>
      <c r="D78" s="104" t="s">
        <v>444</v>
      </c>
      <c r="E78" s="383">
        <v>2763052.9642873891</v>
      </c>
      <c r="F78" s="98">
        <v>0.2</v>
      </c>
      <c r="G78" s="104"/>
      <c r="H78" s="147">
        <f t="shared" ref="H78:H79" si="14">C78*E78*F78</f>
        <v>34901721654.156494</v>
      </c>
      <c r="I78" s="44"/>
      <c r="J78" s="138"/>
    </row>
    <row r="79" spans="1:10" s="103" customFormat="1" x14ac:dyDescent="0.2">
      <c r="A79" s="93"/>
      <c r="B79" s="104" t="s">
        <v>418</v>
      </c>
      <c r="C79" s="149">
        <v>47368.421052631573</v>
      </c>
      <c r="D79" s="104" t="s">
        <v>444</v>
      </c>
      <c r="E79" s="383">
        <v>2228096.5821995079</v>
      </c>
      <c r="F79" s="98">
        <v>0.2</v>
      </c>
      <c r="G79" s="104"/>
      <c r="H79" s="147">
        <f t="shared" si="14"/>
        <v>21108283410.311127</v>
      </c>
      <c r="I79" s="44"/>
      <c r="J79" s="138"/>
    </row>
    <row r="80" spans="1:10" s="103" customFormat="1" x14ac:dyDescent="0.2">
      <c r="A80" s="93"/>
      <c r="B80" s="315" t="s">
        <v>257</v>
      </c>
      <c r="C80" s="104">
        <v>5</v>
      </c>
      <c r="D80" s="104" t="s">
        <v>260</v>
      </c>
      <c r="E80" s="383">
        <v>8954882.5200000014</v>
      </c>
      <c r="F80" s="104"/>
      <c r="G80" s="104"/>
      <c r="H80" s="147">
        <f>C80*E80</f>
        <v>44774412.600000009</v>
      </c>
      <c r="I80" s="44"/>
      <c r="J80" s="138"/>
    </row>
    <row r="81" spans="1:10" s="103" customFormat="1" x14ac:dyDescent="0.2">
      <c r="A81" s="93"/>
      <c r="B81" s="315" t="s">
        <v>258</v>
      </c>
      <c r="C81" s="104">
        <v>3</v>
      </c>
      <c r="D81" s="104" t="s">
        <v>260</v>
      </c>
      <c r="E81" s="383">
        <v>19476574.949999999</v>
      </c>
      <c r="F81" s="104"/>
      <c r="G81" s="104"/>
      <c r="H81" s="147">
        <f t="shared" ref="H81:H82" si="15">C81*E81</f>
        <v>58429724.849999994</v>
      </c>
      <c r="I81" s="44"/>
      <c r="J81" s="138"/>
    </row>
    <row r="82" spans="1:10" s="103" customFormat="1" x14ac:dyDescent="0.2">
      <c r="B82" s="315" t="s">
        <v>259</v>
      </c>
      <c r="C82" s="104">
        <v>1</v>
      </c>
      <c r="D82" s="104" t="s">
        <v>260</v>
      </c>
      <c r="E82" s="383">
        <v>39597849.755999997</v>
      </c>
      <c r="F82" s="104"/>
      <c r="G82" s="104"/>
      <c r="H82" s="147">
        <f t="shared" si="15"/>
        <v>39597849.755999997</v>
      </c>
      <c r="I82" s="44"/>
      <c r="J82" s="138"/>
    </row>
    <row r="83" spans="1:10" s="103" customFormat="1" x14ac:dyDescent="0.2">
      <c r="A83" s="93"/>
      <c r="B83" s="315" t="s">
        <v>230</v>
      </c>
      <c r="C83" s="104">
        <v>2</v>
      </c>
      <c r="D83" s="104" t="s">
        <v>267</v>
      </c>
      <c r="E83" s="54">
        <v>8963563</v>
      </c>
      <c r="F83" s="98"/>
      <c r="G83" s="104">
        <v>10</v>
      </c>
      <c r="H83" s="147">
        <f>C83*E83*G83</f>
        <v>179271260</v>
      </c>
      <c r="I83" s="44"/>
      <c r="J83" s="53"/>
    </row>
    <row r="84" spans="1:10" x14ac:dyDescent="0.2">
      <c r="B84" s="104" t="s">
        <v>256</v>
      </c>
      <c r="C84" s="105">
        <v>10</v>
      </c>
      <c r="D84" s="104" t="s">
        <v>261</v>
      </c>
      <c r="E84" s="54">
        <v>6604729</v>
      </c>
      <c r="F84" s="98">
        <v>0.5</v>
      </c>
      <c r="G84" s="104">
        <v>10</v>
      </c>
      <c r="H84" s="147">
        <f t="shared" ref="H84:H86" si="16">C84*E84*G84</f>
        <v>660472900</v>
      </c>
      <c r="I84" s="44"/>
      <c r="J84" s="53"/>
    </row>
    <row r="85" spans="1:10" x14ac:dyDescent="0.2">
      <c r="B85" s="82" t="s">
        <v>57</v>
      </c>
      <c r="C85" s="105">
        <v>10</v>
      </c>
      <c r="D85" s="104" t="s">
        <v>261</v>
      </c>
      <c r="E85" s="54">
        <v>1300000</v>
      </c>
      <c r="F85" s="98">
        <v>0.5</v>
      </c>
      <c r="G85" s="104">
        <v>10</v>
      </c>
      <c r="H85" s="147">
        <f t="shared" si="16"/>
        <v>130000000</v>
      </c>
      <c r="I85" s="44"/>
      <c r="J85" s="53"/>
    </row>
    <row r="86" spans="1:10" ht="15" x14ac:dyDescent="0.25">
      <c r="B86" s="104" t="s">
        <v>194</v>
      </c>
      <c r="C86" s="104">
        <v>10</v>
      </c>
      <c r="D86" s="104" t="s">
        <v>261</v>
      </c>
      <c r="E86" s="54">
        <v>155000</v>
      </c>
      <c r="F86" s="98">
        <v>0.5</v>
      </c>
      <c r="G86" s="104">
        <v>10</v>
      </c>
      <c r="H86" s="147">
        <f t="shared" si="16"/>
        <v>15500000</v>
      </c>
      <c r="I86" s="99" t="s">
        <v>174</v>
      </c>
      <c r="J86" s="53"/>
    </row>
    <row r="87" spans="1:10" ht="15" x14ac:dyDescent="0.25">
      <c r="B87" s="86" t="s">
        <v>264</v>
      </c>
      <c r="C87" s="87"/>
      <c r="D87" s="87"/>
      <c r="E87" s="88"/>
      <c r="F87" s="88"/>
      <c r="G87" s="87"/>
      <c r="H87" s="99">
        <f>SUM(H70:H86)-H77-H78-H79</f>
        <v>1367146147.2059937</v>
      </c>
      <c r="I87" s="99">
        <f>H87/12</f>
        <v>113928845.60049947</v>
      </c>
      <c r="J87" s="53"/>
    </row>
    <row r="88" spans="1:10" s="103" customFormat="1" ht="260.45" hidden="1" customHeight="1" x14ac:dyDescent="0.2">
      <c r="B88" s="100" t="s">
        <v>97</v>
      </c>
      <c r="C88" s="314"/>
      <c r="D88" s="314"/>
      <c r="E88" s="314"/>
      <c r="F88" s="314"/>
      <c r="G88" s="314"/>
      <c r="H88" s="314"/>
      <c r="J88" s="53"/>
    </row>
    <row r="89" spans="1:10" ht="15" x14ac:dyDescent="0.25">
      <c r="B89" s="142" t="s">
        <v>265</v>
      </c>
      <c r="C89" s="155"/>
      <c r="D89" s="155"/>
      <c r="E89" s="156"/>
      <c r="F89" s="156"/>
      <c r="G89" s="155"/>
      <c r="H89" s="154">
        <f>SUM(H70:H86)</f>
        <v>68813185862.992035</v>
      </c>
      <c r="I89" s="44"/>
      <c r="J89" s="53"/>
    </row>
    <row r="90" spans="1:10" ht="15" x14ac:dyDescent="0.25">
      <c r="B90" s="157" t="s">
        <v>266</v>
      </c>
      <c r="C90" s="143"/>
      <c r="D90" s="143"/>
      <c r="E90" s="158"/>
      <c r="F90" s="158"/>
      <c r="G90" s="143"/>
      <c r="H90" s="159">
        <f>H77+H78+H79</f>
        <v>67446039715.786041</v>
      </c>
    </row>
    <row r="91" spans="1:10" ht="408.95" customHeight="1" x14ac:dyDescent="0.2">
      <c r="B91" s="372" t="s">
        <v>448</v>
      </c>
    </row>
    <row r="94" spans="1:10" s="103" customFormat="1" ht="14.45" customHeight="1" x14ac:dyDescent="0.25">
      <c r="A94" s="92"/>
      <c r="B94" s="717" t="str">
        <f>B11</f>
        <v xml:space="preserve">3.4. Fortalecimiento de la oferta de insumos y servicios asociados a la cadena. </v>
      </c>
      <c r="C94" s="717"/>
      <c r="D94" s="717"/>
      <c r="E94" s="717"/>
      <c r="F94" s="717"/>
      <c r="G94" s="717"/>
      <c r="H94" s="717"/>
    </row>
    <row r="95" spans="1:10" hidden="1" x14ac:dyDescent="0.2">
      <c r="B95" s="314"/>
      <c r="C95" s="314"/>
      <c r="D95" s="314"/>
      <c r="E95" s="314"/>
      <c r="F95" s="314"/>
      <c r="G95" s="314"/>
      <c r="H95" s="314"/>
    </row>
    <row r="96" spans="1:10" ht="15" x14ac:dyDescent="0.25">
      <c r="B96" s="79" t="s">
        <v>79</v>
      </c>
      <c r="C96" s="79" t="s">
        <v>59</v>
      </c>
      <c r="D96" s="79" t="s">
        <v>56</v>
      </c>
      <c r="E96" s="79" t="s">
        <v>55</v>
      </c>
      <c r="F96" s="79" t="s">
        <v>80</v>
      </c>
      <c r="G96" s="79" t="s">
        <v>81</v>
      </c>
      <c r="H96" s="79" t="s">
        <v>82</v>
      </c>
      <c r="J96" s="53"/>
    </row>
    <row r="97" spans="1:10" s="103" customFormat="1" x14ac:dyDescent="0.2">
      <c r="A97" s="93"/>
      <c r="B97" s="104" t="s">
        <v>247</v>
      </c>
      <c r="C97" s="105">
        <v>20</v>
      </c>
      <c r="D97" s="104" t="s">
        <v>84</v>
      </c>
      <c r="E97" s="45">
        <v>500000</v>
      </c>
      <c r="F97" s="104"/>
      <c r="G97" s="104"/>
      <c r="H97" s="147">
        <f>+E97*C97</f>
        <v>10000000</v>
      </c>
      <c r="I97" s="85"/>
      <c r="J97" s="53"/>
    </row>
    <row r="98" spans="1:10" s="103" customFormat="1" x14ac:dyDescent="0.2">
      <c r="A98" s="93"/>
      <c r="B98" s="104" t="s">
        <v>85</v>
      </c>
      <c r="C98" s="105">
        <v>20</v>
      </c>
      <c r="D98" s="104" t="s">
        <v>84</v>
      </c>
      <c r="E98" s="45">
        <v>100000</v>
      </c>
      <c r="F98" s="104"/>
      <c r="G98" s="104"/>
      <c r="H98" s="147">
        <f t="shared" ref="H98:H108" si="17">+E98*C98</f>
        <v>2000000</v>
      </c>
      <c r="I98" s="85"/>
      <c r="J98" s="138"/>
    </row>
    <row r="99" spans="1:10" s="103" customFormat="1" x14ac:dyDescent="0.2">
      <c r="A99" s="93"/>
      <c r="B99" s="315" t="s">
        <v>245</v>
      </c>
      <c r="C99" s="104">
        <v>20</v>
      </c>
      <c r="D99" s="104" t="s">
        <v>84</v>
      </c>
      <c r="E99" s="45">
        <v>2300000</v>
      </c>
      <c r="F99" s="104"/>
      <c r="G99" s="104"/>
      <c r="H99" s="147">
        <f t="shared" si="17"/>
        <v>46000000</v>
      </c>
      <c r="I99" s="44"/>
      <c r="J99" s="138"/>
    </row>
    <row r="100" spans="1:10" s="103" customFormat="1" x14ac:dyDescent="0.2">
      <c r="A100" s="93"/>
      <c r="B100" s="104" t="s">
        <v>246</v>
      </c>
      <c r="C100" s="104">
        <v>20</v>
      </c>
      <c r="D100" s="104" t="s">
        <v>84</v>
      </c>
      <c r="E100" s="45">
        <v>460000</v>
      </c>
      <c r="F100" s="104"/>
      <c r="G100" s="104"/>
      <c r="H100" s="147">
        <f t="shared" si="17"/>
        <v>9200000</v>
      </c>
      <c r="I100" s="44"/>
      <c r="J100" s="138"/>
    </row>
    <row r="101" spans="1:10" s="103" customFormat="1" x14ac:dyDescent="0.2">
      <c r="B101" s="315" t="s">
        <v>250</v>
      </c>
      <c r="C101" s="104">
        <v>20</v>
      </c>
      <c r="D101" s="104" t="s">
        <v>76</v>
      </c>
      <c r="E101" s="45">
        <v>6000000</v>
      </c>
      <c r="F101" s="104"/>
      <c r="G101" s="104"/>
      <c r="H101" s="147">
        <f t="shared" si="17"/>
        <v>120000000</v>
      </c>
      <c r="I101" s="44"/>
      <c r="J101" s="138"/>
    </row>
    <row r="102" spans="1:10" s="103" customFormat="1" x14ac:dyDescent="0.2">
      <c r="B102" s="315" t="s">
        <v>88</v>
      </c>
      <c r="C102" s="104">
        <v>20</v>
      </c>
      <c r="D102" s="104" t="s">
        <v>76</v>
      </c>
      <c r="E102" s="45">
        <v>1800000</v>
      </c>
      <c r="F102" s="104"/>
      <c r="G102" s="104"/>
      <c r="H102" s="147">
        <f t="shared" si="17"/>
        <v>36000000</v>
      </c>
      <c r="I102" s="44"/>
      <c r="J102" s="138"/>
    </row>
    <row r="103" spans="1:10" s="103" customFormat="1" x14ac:dyDescent="0.2">
      <c r="A103" s="93"/>
      <c r="B103" s="104" t="s">
        <v>252</v>
      </c>
      <c r="C103" s="105">
        <v>20</v>
      </c>
      <c r="D103" s="104" t="s">
        <v>84</v>
      </c>
      <c r="E103" s="45">
        <v>3000000</v>
      </c>
      <c r="F103" s="104"/>
      <c r="G103" s="104"/>
      <c r="H103" s="147">
        <f t="shared" si="17"/>
        <v>60000000</v>
      </c>
      <c r="I103" s="84"/>
      <c r="J103" s="138"/>
    </row>
    <row r="104" spans="1:10" s="103" customFormat="1" x14ac:dyDescent="0.2">
      <c r="A104" s="93"/>
      <c r="B104" s="104" t="s">
        <v>253</v>
      </c>
      <c r="C104" s="105">
        <v>20</v>
      </c>
      <c r="D104" s="104" t="s">
        <v>84</v>
      </c>
      <c r="E104" s="45">
        <v>900000</v>
      </c>
      <c r="F104" s="104"/>
      <c r="G104" s="104"/>
      <c r="H104" s="147">
        <f t="shared" si="17"/>
        <v>18000000</v>
      </c>
      <c r="I104" s="84"/>
      <c r="J104" s="138"/>
    </row>
    <row r="105" spans="1:10" x14ac:dyDescent="0.2">
      <c r="B105" s="104" t="s">
        <v>188</v>
      </c>
      <c r="C105" s="105">
        <v>10</v>
      </c>
      <c r="D105" s="104" t="s">
        <v>84</v>
      </c>
      <c r="E105" s="109">
        <v>14500000</v>
      </c>
      <c r="F105" s="98"/>
      <c r="G105" s="104"/>
      <c r="H105" s="147">
        <f t="shared" si="17"/>
        <v>145000000</v>
      </c>
      <c r="I105" s="44"/>
      <c r="J105" s="138"/>
    </row>
    <row r="106" spans="1:10" x14ac:dyDescent="0.2">
      <c r="B106" s="104" t="s">
        <v>232</v>
      </c>
      <c r="C106" s="104">
        <v>10</v>
      </c>
      <c r="D106" s="104" t="s">
        <v>84</v>
      </c>
      <c r="E106" s="45">
        <v>5000000</v>
      </c>
      <c r="F106" s="104"/>
      <c r="G106" s="104"/>
      <c r="H106" s="147">
        <f t="shared" si="17"/>
        <v>50000000</v>
      </c>
      <c r="I106" s="44"/>
      <c r="J106" s="53"/>
    </row>
    <row r="107" spans="1:10" s="103" customFormat="1" x14ac:dyDescent="0.2">
      <c r="A107" s="93"/>
      <c r="B107" s="104" t="s">
        <v>268</v>
      </c>
      <c r="C107" s="105">
        <v>10</v>
      </c>
      <c r="D107" s="104" t="s">
        <v>84</v>
      </c>
      <c r="E107" s="45">
        <v>52200000</v>
      </c>
      <c r="F107" s="104"/>
      <c r="G107" s="104"/>
      <c r="H107" s="147">
        <f t="shared" si="17"/>
        <v>522000000</v>
      </c>
      <c r="I107" s="44"/>
      <c r="J107" s="53"/>
    </row>
    <row r="108" spans="1:10" s="103" customFormat="1" x14ac:dyDescent="0.2">
      <c r="A108" s="93"/>
      <c r="B108" s="104" t="s">
        <v>94</v>
      </c>
      <c r="C108" s="105">
        <v>20</v>
      </c>
      <c r="D108" s="104" t="s">
        <v>84</v>
      </c>
      <c r="E108" s="45">
        <v>20000000</v>
      </c>
      <c r="F108" s="104"/>
      <c r="G108" s="104"/>
      <c r="H108" s="147">
        <f t="shared" si="17"/>
        <v>400000000</v>
      </c>
      <c r="I108" s="44"/>
      <c r="J108" s="138"/>
    </row>
    <row r="109" spans="1:10" s="103" customFormat="1" x14ac:dyDescent="0.2">
      <c r="A109" s="93"/>
      <c r="B109" s="315" t="s">
        <v>257</v>
      </c>
      <c r="C109" s="105">
        <v>6</v>
      </c>
      <c r="D109" s="104" t="s">
        <v>269</v>
      </c>
      <c r="E109" s="45">
        <v>8954882.5200000014</v>
      </c>
      <c r="F109" s="104"/>
      <c r="G109" s="104"/>
      <c r="H109" s="147">
        <f>E109*C109</f>
        <v>53729295.120000005</v>
      </c>
      <c r="I109" s="44"/>
      <c r="J109" s="138"/>
    </row>
    <row r="110" spans="1:10" s="103" customFormat="1" x14ac:dyDescent="0.2">
      <c r="A110" s="93"/>
      <c r="B110" s="315" t="s">
        <v>258</v>
      </c>
      <c r="C110" s="105">
        <v>4</v>
      </c>
      <c r="D110" s="104" t="s">
        <v>269</v>
      </c>
      <c r="E110" s="45">
        <v>19476574.949999999</v>
      </c>
      <c r="F110" s="104"/>
      <c r="G110" s="104"/>
      <c r="H110" s="147">
        <f>C110*E110</f>
        <v>77906299.799999997</v>
      </c>
      <c r="I110" s="44"/>
      <c r="J110" s="138"/>
    </row>
    <row r="111" spans="1:10" s="103" customFormat="1" x14ac:dyDescent="0.2">
      <c r="A111" s="93"/>
      <c r="B111" s="315" t="s">
        <v>259</v>
      </c>
      <c r="C111" s="105">
        <v>2</v>
      </c>
      <c r="D111" s="104" t="s">
        <v>269</v>
      </c>
      <c r="E111" s="45">
        <v>39597849.755999997</v>
      </c>
      <c r="F111" s="104"/>
      <c r="G111" s="104"/>
      <c r="H111" s="147">
        <f t="shared" ref="H111:H113" si="18">C111*E111</f>
        <v>79195699.511999995</v>
      </c>
      <c r="I111" s="44"/>
      <c r="J111" s="138"/>
    </row>
    <row r="112" spans="1:10" s="103" customFormat="1" x14ac:dyDescent="0.2">
      <c r="A112" s="93"/>
      <c r="B112" s="315" t="s">
        <v>230</v>
      </c>
      <c r="C112" s="104">
        <v>2</v>
      </c>
      <c r="D112" s="104" t="s">
        <v>267</v>
      </c>
      <c r="E112" s="45">
        <v>8963563</v>
      </c>
      <c r="F112" s="98"/>
      <c r="G112" s="104">
        <v>10</v>
      </c>
      <c r="H112" s="147">
        <f>C112*E112*G112</f>
        <v>179271260</v>
      </c>
      <c r="I112" s="44"/>
      <c r="J112" s="138"/>
    </row>
    <row r="113" spans="1:10" s="103" customFormat="1" x14ac:dyDescent="0.2">
      <c r="A113" s="93"/>
      <c r="B113" s="104" t="s">
        <v>248</v>
      </c>
      <c r="C113" s="105">
        <f>+(2*2*4)</f>
        <v>16</v>
      </c>
      <c r="D113" s="104" t="s">
        <v>267</v>
      </c>
      <c r="E113" s="45">
        <v>856561</v>
      </c>
      <c r="F113" s="104"/>
      <c r="G113" s="104"/>
      <c r="H113" s="147">
        <f t="shared" si="18"/>
        <v>13704976</v>
      </c>
      <c r="I113" s="44"/>
      <c r="J113" s="138"/>
    </row>
    <row r="114" spans="1:10" s="103" customFormat="1" x14ac:dyDescent="0.2">
      <c r="B114" s="104" t="s">
        <v>249</v>
      </c>
      <c r="C114" s="105">
        <v>10</v>
      </c>
      <c r="D114" s="104" t="s">
        <v>267</v>
      </c>
      <c r="E114" s="45">
        <v>6604729</v>
      </c>
      <c r="F114" s="98">
        <v>0.5</v>
      </c>
      <c r="G114" s="104">
        <v>10</v>
      </c>
      <c r="H114" s="147">
        <f>+E114*C114*G114*F114</f>
        <v>330236450</v>
      </c>
      <c r="I114" s="84"/>
      <c r="J114" s="138"/>
    </row>
    <row r="115" spans="1:10" x14ac:dyDescent="0.2">
      <c r="B115" s="82" t="s">
        <v>57</v>
      </c>
      <c r="C115" s="105">
        <v>10</v>
      </c>
      <c r="D115" s="104" t="s">
        <v>267</v>
      </c>
      <c r="E115" s="109">
        <v>1300000</v>
      </c>
      <c r="F115" s="98">
        <v>0.5</v>
      </c>
      <c r="G115" s="104">
        <v>10</v>
      </c>
      <c r="H115" s="147">
        <f t="shared" ref="H115:H116" si="19">+E115*C115*G115*F115</f>
        <v>65000000</v>
      </c>
      <c r="I115" s="44"/>
      <c r="J115" s="138"/>
    </row>
    <row r="116" spans="1:10" ht="15" x14ac:dyDescent="0.25">
      <c r="B116" s="82" t="s">
        <v>194</v>
      </c>
      <c r="C116" s="105">
        <v>10</v>
      </c>
      <c r="D116" s="104" t="s">
        <v>267</v>
      </c>
      <c r="E116" s="109">
        <v>155000</v>
      </c>
      <c r="F116" s="98">
        <v>0.5</v>
      </c>
      <c r="G116" s="104">
        <v>10</v>
      </c>
      <c r="H116" s="147">
        <f t="shared" si="19"/>
        <v>7750000</v>
      </c>
      <c r="I116" s="99" t="s">
        <v>174</v>
      </c>
      <c r="J116" s="53"/>
    </row>
    <row r="117" spans="1:10" ht="15" x14ac:dyDescent="0.25">
      <c r="B117" s="86" t="s">
        <v>270</v>
      </c>
      <c r="C117" s="87"/>
      <c r="D117" s="87"/>
      <c r="E117" s="88"/>
      <c r="F117" s="88"/>
      <c r="G117" s="87"/>
      <c r="H117" s="99">
        <f>SUM(H97:H116)</f>
        <v>2224993980.4320002</v>
      </c>
      <c r="I117" s="99">
        <f>H117/12</f>
        <v>185416165.03600001</v>
      </c>
      <c r="J117" s="53"/>
    </row>
    <row r="118" spans="1:10" s="103" customFormat="1" ht="15" x14ac:dyDescent="0.25">
      <c r="B118" s="142" t="s">
        <v>271</v>
      </c>
      <c r="C118" s="152"/>
      <c r="D118" s="152"/>
      <c r="E118" s="152"/>
      <c r="F118" s="152"/>
      <c r="G118" s="153"/>
      <c r="H118" s="154">
        <f>+H107+H108+H109</f>
        <v>975729295.12</v>
      </c>
      <c r="I118" s="102"/>
      <c r="J118" s="53"/>
    </row>
    <row r="119" spans="1:10" ht="297" customHeight="1" x14ac:dyDescent="0.2">
      <c r="B119" s="219" t="s">
        <v>419</v>
      </c>
    </row>
    <row r="120" spans="1:10" x14ac:dyDescent="0.2">
      <c r="B120" s="219"/>
    </row>
    <row r="121" spans="1:10" x14ac:dyDescent="0.2">
      <c r="B121" s="219"/>
    </row>
    <row r="122" spans="1:10" s="103" customFormat="1" ht="14.45" customHeight="1" x14ac:dyDescent="0.25">
      <c r="A122" s="92"/>
      <c r="B122" s="717" t="str">
        <f>+B12</f>
        <v>3.5. Mejora del entorno productivo para las grandes inversiones en las regiones maiceras.</v>
      </c>
      <c r="C122" s="717"/>
      <c r="D122" s="717"/>
      <c r="E122" s="717"/>
      <c r="F122" s="717"/>
      <c r="G122" s="717"/>
      <c r="H122" s="717"/>
    </row>
    <row r="123" spans="1:10" hidden="1" x14ac:dyDescent="0.2">
      <c r="B123" s="314"/>
      <c r="C123" s="314"/>
      <c r="D123" s="314"/>
      <c r="E123" s="314"/>
      <c r="F123" s="314"/>
      <c r="G123" s="314"/>
      <c r="H123" s="314"/>
    </row>
    <row r="124" spans="1:10" ht="15" x14ac:dyDescent="0.25">
      <c r="B124" s="79" t="s">
        <v>79</v>
      </c>
      <c r="C124" s="79" t="s">
        <v>59</v>
      </c>
      <c r="D124" s="79" t="s">
        <v>56</v>
      </c>
      <c r="E124" s="79" t="s">
        <v>55</v>
      </c>
      <c r="F124" s="79" t="s">
        <v>80</v>
      </c>
      <c r="G124" s="79" t="s">
        <v>81</v>
      </c>
      <c r="H124" s="79" t="s">
        <v>82</v>
      </c>
      <c r="J124" s="53"/>
    </row>
    <row r="125" spans="1:10" s="103" customFormat="1" x14ac:dyDescent="0.2">
      <c r="A125" s="93"/>
      <c r="B125" s="104" t="s">
        <v>83</v>
      </c>
      <c r="C125" s="104">
        <v>6</v>
      </c>
      <c r="D125" s="104"/>
      <c r="E125" s="45">
        <v>500000</v>
      </c>
      <c r="F125" s="104"/>
      <c r="G125" s="104"/>
      <c r="H125" s="147">
        <f>+E125*C125</f>
        <v>3000000</v>
      </c>
      <c r="I125" s="85"/>
      <c r="J125" s="138"/>
    </row>
    <row r="126" spans="1:10" s="103" customFormat="1" x14ac:dyDescent="0.2">
      <c r="A126" s="93"/>
      <c r="B126" s="104" t="s">
        <v>85</v>
      </c>
      <c r="C126" s="104">
        <v>6</v>
      </c>
      <c r="D126" s="104"/>
      <c r="E126" s="45">
        <v>100000</v>
      </c>
      <c r="F126" s="104"/>
      <c r="G126" s="104"/>
      <c r="H126" s="147">
        <f t="shared" ref="H126:H131" si="20">+E126*C126</f>
        <v>600000</v>
      </c>
      <c r="I126" s="85"/>
      <c r="J126" s="138"/>
    </row>
    <row r="127" spans="1:10" s="103" customFormat="1" x14ac:dyDescent="0.2">
      <c r="A127" s="93"/>
      <c r="B127" s="104" t="s">
        <v>102</v>
      </c>
      <c r="C127" s="104">
        <v>6</v>
      </c>
      <c r="D127" s="104"/>
      <c r="E127" s="45">
        <v>2300000</v>
      </c>
      <c r="F127" s="104"/>
      <c r="G127" s="104"/>
      <c r="H127" s="147">
        <f t="shared" si="20"/>
        <v>13800000</v>
      </c>
      <c r="I127" s="44"/>
      <c r="J127" s="138"/>
    </row>
    <row r="128" spans="1:10" s="103" customFormat="1" x14ac:dyDescent="0.2">
      <c r="A128" s="93"/>
      <c r="B128" s="104" t="s">
        <v>103</v>
      </c>
      <c r="C128" s="104">
        <v>6</v>
      </c>
      <c r="D128" s="104"/>
      <c r="E128" s="45">
        <v>460000</v>
      </c>
      <c r="F128" s="104"/>
      <c r="G128" s="104"/>
      <c r="H128" s="147">
        <f t="shared" si="20"/>
        <v>2760000</v>
      </c>
      <c r="I128" s="44"/>
      <c r="J128" s="138"/>
    </row>
    <row r="129" spans="1:10" s="103" customFormat="1" x14ac:dyDescent="0.2">
      <c r="A129" s="93"/>
      <c r="B129" s="315" t="s">
        <v>259</v>
      </c>
      <c r="C129" s="104">
        <v>2</v>
      </c>
      <c r="D129" s="104"/>
      <c r="E129" s="45">
        <v>39597849.755999997</v>
      </c>
      <c r="F129" s="104"/>
      <c r="G129" s="104"/>
      <c r="H129" s="147">
        <f t="shared" si="20"/>
        <v>79195699.511999995</v>
      </c>
      <c r="I129" s="44"/>
      <c r="J129" s="138"/>
    </row>
    <row r="130" spans="1:10" s="103" customFormat="1" x14ac:dyDescent="0.2">
      <c r="A130" s="93"/>
      <c r="B130" s="104" t="s">
        <v>368</v>
      </c>
      <c r="C130" s="104">
        <v>5</v>
      </c>
      <c r="D130" s="104"/>
      <c r="E130" s="109">
        <v>9907096</v>
      </c>
      <c r="F130" s="104"/>
      <c r="G130" s="104">
        <v>10</v>
      </c>
      <c r="H130" s="147">
        <f>+E130*C130*G130</f>
        <v>495354800</v>
      </c>
      <c r="I130" s="84"/>
      <c r="J130" s="138"/>
    </row>
    <row r="131" spans="1:10" ht="15" x14ac:dyDescent="0.25">
      <c r="B131" s="104" t="s">
        <v>369</v>
      </c>
      <c r="C131" s="104">
        <v>4</v>
      </c>
      <c r="D131" s="104"/>
      <c r="E131" s="109">
        <v>1313122</v>
      </c>
      <c r="F131" s="98"/>
      <c r="G131" s="104"/>
      <c r="H131" s="147">
        <f t="shared" si="20"/>
        <v>5252488</v>
      </c>
      <c r="I131" s="99" t="s">
        <v>174</v>
      </c>
      <c r="J131" s="53"/>
    </row>
    <row r="132" spans="1:10" ht="15" x14ac:dyDescent="0.25">
      <c r="B132" s="104" t="s">
        <v>373</v>
      </c>
      <c r="C132" s="104"/>
      <c r="D132" s="104"/>
      <c r="E132" s="109"/>
      <c r="F132" s="98"/>
      <c r="G132" s="104"/>
      <c r="H132" s="147" t="s">
        <v>78</v>
      </c>
      <c r="I132" s="99"/>
      <c r="J132" s="53"/>
    </row>
    <row r="133" spans="1:10" s="103" customFormat="1" ht="15" x14ac:dyDescent="0.25">
      <c r="A133" s="93"/>
      <c r="B133" s="324" t="s">
        <v>371</v>
      </c>
      <c r="C133" s="324"/>
      <c r="D133" s="324"/>
      <c r="E133" s="324"/>
      <c r="F133" s="324"/>
      <c r="G133" s="324"/>
      <c r="H133" s="325">
        <f>SUM(H125:H131)</f>
        <v>599962987.51199996</v>
      </c>
      <c r="I133" s="99">
        <f>H133/12</f>
        <v>49996915.625999995</v>
      </c>
      <c r="J133" s="138"/>
    </row>
    <row r="134" spans="1:10" s="103" customFormat="1" ht="15" x14ac:dyDescent="0.25">
      <c r="A134" s="93"/>
      <c r="B134" s="331" t="s">
        <v>372</v>
      </c>
      <c r="C134" s="326"/>
      <c r="D134" s="326"/>
      <c r="E134" s="326"/>
      <c r="F134" s="326"/>
      <c r="G134" s="326"/>
      <c r="H134" s="327">
        <f>+H133-H129</f>
        <v>520767288</v>
      </c>
      <c r="I134" s="44"/>
      <c r="J134" s="138"/>
    </row>
    <row r="135" spans="1:10" s="103" customFormat="1" ht="108.75" customHeight="1" x14ac:dyDescent="0.2">
      <c r="A135" s="93"/>
      <c r="B135" s="332" t="s">
        <v>420</v>
      </c>
      <c r="C135" s="314"/>
      <c r="D135" s="141"/>
      <c r="E135" s="141"/>
      <c r="F135" s="102"/>
      <c r="G135" s="102"/>
      <c r="H135" s="328">
        <f>E135*C135</f>
        <v>0</v>
      </c>
      <c r="I135" s="44"/>
    </row>
  </sheetData>
  <sheetProtection algorithmName="SHA-512" hashValue="nP/CwLqJr+NeYnM6jNbvAUw/wHjDuJKkZnzx6TG5KQCOZSXRAXfiRECyK3TODllUZ9n1tL7Q/2B3RqKB5TtMmQ==" saltValue="h4TiRmbDeEg54yx/ylG9MQ==" spinCount="100000" sheet="1" objects="1" scenarios="1"/>
  <mergeCells count="5">
    <mergeCell ref="B15:H16"/>
    <mergeCell ref="B38:H38"/>
    <mergeCell ref="B67:H67"/>
    <mergeCell ref="B94:H94"/>
    <mergeCell ref="B122:H1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0A2B2CA65EC14A889817A06D71E322" ma:contentTypeVersion="4" ma:contentTypeDescription="Crear nuevo documento." ma:contentTypeScope="" ma:versionID="af4a131f927525afff4471bc024d4299">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63cb2a16c199be2ea68269320086e99"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Categoría_x0020_POP"/>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1"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restriction>
      </xsd:simpleType>
    </xsd:element>
    <xsd:element name="Categoría_x0020_POP" ma:index="9" ma:displayName="Subcategoría POP" ma:format="Dropdown" ma:internalName="Subcategor_x00ed_a_x0020_POP">
      <xsd:simpleType>
        <xsd:restriction base="dms:Choice">
          <xsd:enumeration value="POP"/>
          <xsd:enumeration value="Linea base"/>
          <xsd:enumeration value="Analisis situacional"/>
          <xsd:enumeration value="Prospectiva"/>
          <xsd:enumeration value="Lineamientos"/>
          <xsd:enumeration value="Plan de accion"/>
          <xsd:enumeration value="Presentaciones"/>
          <xsd:enumeration value="Anexo - Datos"/>
        </xsd:restriction>
      </xsd:simpleType>
    </xsd:element>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ía_x0020_POP1 xmlns="a7912b74-821a-4119-aad9-e1c9b233eb5e">Maiz</Categoría_x0020_POP1>
    <VariationsItemGroupID xmlns="http://schemas.microsoft.com/sharepoint/v3">40b0a200-db81-46a6-8932-d2b8cafe0a14</VariationsItemGroupID>
    <Categoría_x0020_POP xmlns="a7912b74-821a-4119-aad9-e1c9b233eb5e">Plan de accion</Categoría_x0020_POP>
  </documentManagement>
</p:properties>
</file>

<file path=customXml/itemProps1.xml><?xml version="1.0" encoding="utf-8"?>
<ds:datastoreItem xmlns:ds="http://schemas.openxmlformats.org/officeDocument/2006/customXml" ds:itemID="{C5BCCD75-8735-4C54-BB52-1FCB551611B3}"/>
</file>

<file path=customXml/itemProps2.xml><?xml version="1.0" encoding="utf-8"?>
<ds:datastoreItem xmlns:ds="http://schemas.openxmlformats.org/officeDocument/2006/customXml" ds:itemID="{69E25F74-B482-474E-8B4A-0FFA350A32C2}"/>
</file>

<file path=customXml/itemProps3.xml><?xml version="1.0" encoding="utf-8"?>
<ds:datastoreItem xmlns:ds="http://schemas.openxmlformats.org/officeDocument/2006/customXml" ds:itemID="{CD1E310F-991B-4DCA-A58D-27F51F8F4F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Instructivo</vt:lpstr>
      <vt:lpstr>Directrices  Generales </vt:lpstr>
      <vt:lpstr>Categoria Costos Def</vt:lpstr>
      <vt:lpstr>Estimación anualizada </vt:lpstr>
      <vt:lpstr>Estimación por período</vt:lpstr>
      <vt:lpstr>Fuentes</vt:lpstr>
      <vt:lpstr>P1</vt:lpstr>
      <vt:lpstr>P2</vt:lpstr>
      <vt:lpstr>P3</vt:lpstr>
      <vt:lpstr>P4</vt:lpstr>
      <vt:lpstr>P5</vt:lpstr>
      <vt:lpstr>P6</vt:lpstr>
      <vt:lpstr>P7</vt:lpstr>
      <vt:lpstr>P8</vt:lpstr>
      <vt:lpstr>P9</vt:lpstr>
      <vt:lpstr>PPP_V3_y Costos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3. Plan de acción</dc:title>
  <dc:creator>Jannia Gómez</dc:creator>
  <cp:lastModifiedBy>Alejandro Flórez Vanegas</cp:lastModifiedBy>
  <dcterms:created xsi:type="dcterms:W3CDTF">2022-02-23T13:55:35Z</dcterms:created>
  <dcterms:modified xsi:type="dcterms:W3CDTF">2022-05-12T20:31:42Z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0x010100FD0A2B2CA65EC14A889817A06D71E322</vt:lpwstr>
  </property>
</Properties>
</file>