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66925"/>
  <mc:AlternateContent xmlns:mc="http://schemas.openxmlformats.org/markup-compatibility/2006">
    <mc:Choice Requires="x15">
      <x15ac:absPath xmlns:x15ac="http://schemas.microsoft.com/office/spreadsheetml/2010/11/ac" url="C:\Users\alejandro.florez\Desktop\UPRA\Contratacion 2019\2019\Documentos\POP\20042020\PA\Version mayo\"/>
    </mc:Choice>
  </mc:AlternateContent>
  <xr:revisionPtr revIDLastSave="0" documentId="13_ncr:1_{3ECFD7D2-E9A9-46CD-893C-F351CEC63F43}" xr6:coauthVersionLast="45" xr6:coauthVersionMax="45" xr10:uidLastSave="{00000000-0000-0000-0000-000000000000}"/>
  <workbookProtection workbookAlgorithmName="SHA-512" workbookHashValue="v17pN4rmSu78vIZxcFbO/hBB5yEJP++H4TfCYdLBjxFq+mVAWEkSkN6yxoKSH7bVcUZhFHiqkGVOczJZet9yTg==" workbookSaltValue="Vk1zDXi3zAV3qpX6suhr1g==" workbookSpinCount="100000" lockStructure="1"/>
  <bookViews>
    <workbookView xWindow="-120" yWindow="-120" windowWidth="29040" windowHeight="15840" tabRatio="1000" firstSheet="1" activeTab="1" xr2:uid="{00000000-000D-0000-FFFF-FFFF00000000}"/>
  </bookViews>
  <sheets>
    <sheet name="P1.1 i" sheetId="2" state="hidden" r:id="rId1"/>
    <sheet name="Instructivo" sheetId="66" r:id="rId2"/>
    <sheet name="Parámetros" sheetId="29" r:id="rId3"/>
    <sheet name="Presupuesto detallado" sheetId="3" r:id="rId4"/>
    <sheet name="Presupuesto síntesis" sheetId="59" r:id="rId5"/>
    <sheet name="FF Detallada" sheetId="52" state="hidden" r:id="rId6"/>
    <sheet name="FF síntesis" sheetId="55" state="hidden" r:id="rId7"/>
    <sheet name="FF síntesis MillCOP" sheetId="56" state="hidden" r:id="rId8"/>
    <sheet name="P1.1" sheetId="31" r:id="rId9"/>
    <sheet name="P1.2" sheetId="32" r:id="rId10"/>
    <sheet name="P1.3" sheetId="33" r:id="rId11"/>
    <sheet name="P1.4" sheetId="34" r:id="rId12"/>
    <sheet name="P1.5" sheetId="35" r:id="rId13"/>
    <sheet name="P1.2 i" sheetId="4" state="hidden" r:id="rId14"/>
    <sheet name="P1.3 i" sheetId="5" state="hidden" r:id="rId15"/>
    <sheet name="P1.4 i" sheetId="6" state="hidden" r:id="rId16"/>
    <sheet name="P1.5 i" sheetId="7" state="hidden" r:id="rId17"/>
    <sheet name="P2.1" sheetId="8" r:id="rId18"/>
    <sheet name="P2.2" sheetId="9" r:id="rId19"/>
    <sheet name="P2.3" sheetId="10" r:id="rId20"/>
    <sheet name="P3.1" sheetId="12" r:id="rId21"/>
    <sheet name="P3.2" sheetId="11" r:id="rId22"/>
    <sheet name="P3.3" sheetId="58" r:id="rId23"/>
    <sheet name="P3.4" sheetId="13" r:id="rId24"/>
    <sheet name="P4.1i" sheetId="14" state="hidden" r:id="rId25"/>
    <sheet name="P4.2i" sheetId="15" state="hidden" r:id="rId26"/>
    <sheet name="P5.1 i" sheetId="16" state="hidden" r:id="rId27"/>
    <sheet name="P5.2 i" sheetId="17" state="hidden" r:id="rId28"/>
    <sheet name="P4.1" sheetId="42" r:id="rId29"/>
    <sheet name="P4.2" sheetId="43" r:id="rId30"/>
    <sheet name="P5.1" sheetId="36" r:id="rId31"/>
    <sheet name="P5.2" sheetId="37" r:id="rId32"/>
    <sheet name="P6.1" sheetId="38" r:id="rId33"/>
    <sheet name="P6.2" sheetId="39" r:id="rId34"/>
    <sheet name="P7.1" sheetId="20" r:id="rId35"/>
    <sheet name="P7.2" sheetId="21" r:id="rId36"/>
    <sheet name="P6.1 i" sheetId="18" state="hidden" r:id="rId37"/>
    <sheet name="P6.2 i" sheetId="19" state="hidden" r:id="rId38"/>
    <sheet name="P8.1 i" sheetId="22" state="hidden" r:id="rId39"/>
    <sheet name="P8.2 i" sheetId="23" state="hidden" r:id="rId40"/>
    <sheet name="P8.1" sheetId="40" r:id="rId41"/>
    <sheet name="P8.2" sheetId="41" r:id="rId42"/>
    <sheet name="P9.1" sheetId="24" r:id="rId43"/>
    <sheet name="P9.2" sheetId="25" r:id="rId44"/>
    <sheet name="P9.3" sheetId="26" r:id="rId45"/>
    <sheet name="P9.4" sheetId="27" r:id="rId46"/>
  </sheets>
  <externalReferences>
    <externalReference r:id="rId47"/>
    <externalReference r:id="rId48"/>
    <externalReference r:id="rId49"/>
  </externalReferences>
  <definedNames>
    <definedName name="_xlnm.Print_Area" localSheetId="2">Parámetros!$B$2:$AB$46</definedName>
    <definedName name="DME_Dirty" hidden="1">"False"</definedName>
    <definedName name="DME_LocalFile" hidden="1">"True"</definedName>
    <definedName name="Lista1" localSheetId="1">[1]Datos!$E$4:$E$6</definedName>
    <definedName name="Lista1">[2]Datos!$E$4:$E$6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31" l="1"/>
  <c r="C12" i="3"/>
  <c r="C12" i="59" s="1"/>
  <c r="W13" i="32" l="1"/>
  <c r="W12" i="32"/>
  <c r="V8" i="3"/>
  <c r="L11" i="39" l="1"/>
  <c r="K11" i="39"/>
  <c r="H47" i="39"/>
  <c r="H11" i="39" s="1"/>
  <c r="H51" i="39"/>
  <c r="H50" i="39"/>
  <c r="H49" i="39"/>
  <c r="H48" i="39"/>
  <c r="H46" i="39"/>
  <c r="H45" i="39"/>
  <c r="H44" i="39"/>
  <c r="J11" i="39" s="1"/>
  <c r="H43" i="39"/>
  <c r="I11" i="39" s="1"/>
  <c r="H42" i="39"/>
  <c r="D139" i="3" l="1"/>
  <c r="E139" i="3"/>
  <c r="F139" i="3"/>
  <c r="P139" i="3"/>
  <c r="Q139" i="3"/>
  <c r="R139" i="3"/>
  <c r="S139" i="3"/>
  <c r="T139" i="3"/>
  <c r="U139" i="3"/>
  <c r="D140" i="3"/>
  <c r="E140" i="3"/>
  <c r="F140" i="3"/>
  <c r="H141" i="3"/>
  <c r="I141" i="3"/>
  <c r="J141" i="3"/>
  <c r="K141" i="3"/>
  <c r="L141" i="3"/>
  <c r="M141" i="3"/>
  <c r="N141" i="3"/>
  <c r="O141" i="3"/>
  <c r="P141" i="3"/>
  <c r="Q141" i="3"/>
  <c r="R141" i="3"/>
  <c r="S141" i="3"/>
  <c r="T141" i="3"/>
  <c r="U141" i="3"/>
  <c r="C140" i="3"/>
  <c r="C139" i="3"/>
  <c r="H16" i="41"/>
  <c r="E30" i="41"/>
  <c r="H30" i="41" s="1"/>
  <c r="G10" i="41" s="1"/>
  <c r="F141" i="3" s="1"/>
  <c r="H24" i="41"/>
  <c r="E23" i="41"/>
  <c r="H23" i="41" s="1"/>
  <c r="H26" i="41" s="1"/>
  <c r="E13" i="41"/>
  <c r="F131" i="3"/>
  <c r="G131" i="3"/>
  <c r="H131" i="3"/>
  <c r="I131" i="3"/>
  <c r="J131" i="3"/>
  <c r="K131" i="3"/>
  <c r="L131" i="3"/>
  <c r="M131" i="3"/>
  <c r="N131" i="3"/>
  <c r="O131" i="3"/>
  <c r="P131" i="3"/>
  <c r="Q131" i="3"/>
  <c r="R131" i="3"/>
  <c r="S131" i="3"/>
  <c r="T131" i="3"/>
  <c r="U131" i="3"/>
  <c r="D133" i="3"/>
  <c r="H133" i="3"/>
  <c r="I133" i="3"/>
  <c r="J133" i="3"/>
  <c r="K133" i="3"/>
  <c r="L133" i="3"/>
  <c r="M133" i="3"/>
  <c r="N133" i="3"/>
  <c r="O133" i="3"/>
  <c r="P133" i="3"/>
  <c r="Q133" i="3"/>
  <c r="R133" i="3"/>
  <c r="S133" i="3"/>
  <c r="T133" i="3"/>
  <c r="U133" i="3"/>
  <c r="D134" i="3"/>
  <c r="E134" i="3"/>
  <c r="J134" i="3"/>
  <c r="K134" i="3"/>
  <c r="L134" i="3"/>
  <c r="N134" i="3"/>
  <c r="O134" i="3"/>
  <c r="P134" i="3"/>
  <c r="R134" i="3"/>
  <c r="S134" i="3"/>
  <c r="T134" i="3"/>
  <c r="D135" i="3"/>
  <c r="E135" i="3"/>
  <c r="J135" i="3"/>
  <c r="K135" i="3"/>
  <c r="L135" i="3"/>
  <c r="N135" i="3"/>
  <c r="O135" i="3"/>
  <c r="P135" i="3"/>
  <c r="R135" i="3"/>
  <c r="S135" i="3"/>
  <c r="T135" i="3"/>
  <c r="D136" i="3"/>
  <c r="E136" i="3"/>
  <c r="D137" i="3"/>
  <c r="E137" i="3"/>
  <c r="C132" i="3"/>
  <c r="C133" i="3"/>
  <c r="C134" i="3"/>
  <c r="C135" i="3"/>
  <c r="C136" i="3"/>
  <c r="C137" i="3"/>
  <c r="C131" i="3"/>
  <c r="E31" i="40"/>
  <c r="H31" i="40" s="1"/>
  <c r="H18" i="40"/>
  <c r="G124" i="3"/>
  <c r="H124" i="3"/>
  <c r="I124" i="3"/>
  <c r="K124" i="3"/>
  <c r="L124" i="3"/>
  <c r="M124" i="3"/>
  <c r="O124" i="3"/>
  <c r="P124" i="3"/>
  <c r="Q124" i="3"/>
  <c r="S124" i="3"/>
  <c r="T124" i="3"/>
  <c r="U124" i="3"/>
  <c r="D125" i="3"/>
  <c r="D126" i="3"/>
  <c r="E126" i="3"/>
  <c r="I126" i="3"/>
  <c r="J126" i="3"/>
  <c r="K126" i="3"/>
  <c r="L126" i="3"/>
  <c r="M126" i="3"/>
  <c r="N126" i="3"/>
  <c r="O126" i="3"/>
  <c r="P126" i="3"/>
  <c r="Q126" i="3"/>
  <c r="R126" i="3"/>
  <c r="S126" i="3"/>
  <c r="T126" i="3"/>
  <c r="U126" i="3"/>
  <c r="D127" i="3"/>
  <c r="E127" i="3"/>
  <c r="Q127" i="3"/>
  <c r="R127" i="3"/>
  <c r="S127" i="3"/>
  <c r="T127" i="3"/>
  <c r="U127" i="3"/>
  <c r="D128" i="3"/>
  <c r="E128" i="3"/>
  <c r="C125" i="3"/>
  <c r="C126" i="3"/>
  <c r="C127" i="3"/>
  <c r="C128" i="3"/>
  <c r="C124" i="3"/>
  <c r="C123" i="3" s="1"/>
  <c r="F138" i="3" l="1"/>
  <c r="C127" i="59"/>
  <c r="E126" i="59"/>
  <c r="C137" i="59"/>
  <c r="C126" i="59"/>
  <c r="C136" i="59"/>
  <c r="D131" i="59"/>
  <c r="H32" i="41"/>
  <c r="C139" i="59"/>
  <c r="E141" i="59"/>
  <c r="E139" i="59"/>
  <c r="C135" i="59"/>
  <c r="C130" i="3"/>
  <c r="C128" i="59"/>
  <c r="C134" i="59"/>
  <c r="E133" i="59"/>
  <c r="E131" i="59"/>
  <c r="C140" i="59"/>
  <c r="J9" i="41"/>
  <c r="I140" i="3" s="1"/>
  <c r="K9" i="41"/>
  <c r="J140" i="3" s="1"/>
  <c r="O9" i="41"/>
  <c r="N140" i="3" s="1"/>
  <c r="S9" i="41"/>
  <c r="R140" i="3" s="1"/>
  <c r="H9" i="41"/>
  <c r="G140" i="3" s="1"/>
  <c r="L9" i="41"/>
  <c r="K140" i="3" s="1"/>
  <c r="P9" i="41"/>
  <c r="O140" i="3" s="1"/>
  <c r="T9" i="41"/>
  <c r="S140" i="3" s="1"/>
  <c r="I9" i="41"/>
  <c r="H140" i="3" s="1"/>
  <c r="M9" i="41"/>
  <c r="L140" i="3" s="1"/>
  <c r="Q9" i="41"/>
  <c r="P140" i="3" s="1"/>
  <c r="U9" i="41"/>
  <c r="T140" i="3" s="1"/>
  <c r="N9" i="41"/>
  <c r="M140" i="3" s="1"/>
  <c r="R9" i="41"/>
  <c r="Q140" i="3" s="1"/>
  <c r="V9" i="41"/>
  <c r="U140" i="3" s="1"/>
  <c r="H10" i="41"/>
  <c r="G141" i="3" s="1"/>
  <c r="G44" i="21"/>
  <c r="F118" i="3"/>
  <c r="G118" i="3"/>
  <c r="H118" i="3"/>
  <c r="J118" i="3"/>
  <c r="K118" i="3"/>
  <c r="L118" i="3"/>
  <c r="N118" i="3"/>
  <c r="O118" i="3"/>
  <c r="P118" i="3"/>
  <c r="R118" i="3"/>
  <c r="S118" i="3"/>
  <c r="T118" i="3"/>
  <c r="F119" i="3"/>
  <c r="G119" i="3"/>
  <c r="H119" i="3"/>
  <c r="I119" i="3"/>
  <c r="J119" i="3"/>
  <c r="K119" i="3"/>
  <c r="L119" i="3"/>
  <c r="M119" i="3"/>
  <c r="N119" i="3"/>
  <c r="O119" i="3"/>
  <c r="P119" i="3"/>
  <c r="Q119" i="3"/>
  <c r="R119" i="3"/>
  <c r="S119" i="3"/>
  <c r="T119" i="3"/>
  <c r="U119" i="3"/>
  <c r="F121" i="3"/>
  <c r="G121" i="3"/>
  <c r="H121" i="3"/>
  <c r="I121" i="3"/>
  <c r="K121" i="3"/>
  <c r="L121" i="3"/>
  <c r="M121" i="3"/>
  <c r="N121" i="3"/>
  <c r="P121" i="3"/>
  <c r="Q121" i="3"/>
  <c r="R121" i="3"/>
  <c r="S121" i="3"/>
  <c r="U121" i="3"/>
  <c r="D122" i="3"/>
  <c r="C119" i="3"/>
  <c r="C120" i="3"/>
  <c r="C121" i="3"/>
  <c r="C122" i="3"/>
  <c r="C118" i="3"/>
  <c r="G52" i="20"/>
  <c r="E51" i="20"/>
  <c r="G51" i="20" s="1"/>
  <c r="E50" i="20"/>
  <c r="G50" i="20" s="1"/>
  <c r="E49" i="20"/>
  <c r="G49" i="20" s="1"/>
  <c r="H36" i="20"/>
  <c r="E21" i="20"/>
  <c r="H21" i="20" s="1"/>
  <c r="E20" i="20"/>
  <c r="H20" i="20" s="1"/>
  <c r="G114" i="3"/>
  <c r="D111" i="3"/>
  <c r="E111" i="3"/>
  <c r="K111" i="3"/>
  <c r="L111" i="3"/>
  <c r="M111" i="3"/>
  <c r="N111" i="3"/>
  <c r="O111" i="3"/>
  <c r="P111" i="3"/>
  <c r="Q111" i="3"/>
  <c r="R111" i="3"/>
  <c r="S111" i="3"/>
  <c r="T111" i="3"/>
  <c r="U111" i="3"/>
  <c r="D112" i="3"/>
  <c r="E112" i="3"/>
  <c r="F112" i="3"/>
  <c r="R112" i="3"/>
  <c r="S112" i="3"/>
  <c r="T112" i="3"/>
  <c r="U112" i="3"/>
  <c r="D113" i="3"/>
  <c r="E113" i="3"/>
  <c r="F113" i="3"/>
  <c r="R113" i="3"/>
  <c r="S113" i="3"/>
  <c r="T113" i="3"/>
  <c r="U113" i="3"/>
  <c r="D114" i="3"/>
  <c r="E114" i="3"/>
  <c r="F114" i="3"/>
  <c r="R114" i="3"/>
  <c r="S114" i="3"/>
  <c r="T114" i="3"/>
  <c r="U114" i="3"/>
  <c r="D115" i="3"/>
  <c r="E115" i="3"/>
  <c r="F115" i="3"/>
  <c r="R115" i="3"/>
  <c r="S115" i="3"/>
  <c r="T115" i="3"/>
  <c r="U115" i="3"/>
  <c r="C112" i="3"/>
  <c r="C113" i="3"/>
  <c r="C114" i="3"/>
  <c r="C115" i="3"/>
  <c r="C111" i="3"/>
  <c r="H52" i="39"/>
  <c r="G59" i="39"/>
  <c r="G58" i="39"/>
  <c r="G60" i="39" s="1"/>
  <c r="E74" i="3"/>
  <c r="Q74" i="3"/>
  <c r="S74" i="3"/>
  <c r="U74" i="3"/>
  <c r="D75" i="3"/>
  <c r="E75" i="3"/>
  <c r="I75" i="3"/>
  <c r="J75" i="3"/>
  <c r="K75" i="3"/>
  <c r="L75" i="3"/>
  <c r="M75" i="3"/>
  <c r="N75" i="3"/>
  <c r="O75" i="3"/>
  <c r="P75" i="3"/>
  <c r="Q75" i="3"/>
  <c r="R75" i="3"/>
  <c r="S75" i="3"/>
  <c r="T75" i="3"/>
  <c r="U75" i="3"/>
  <c r="D76" i="3"/>
  <c r="E76" i="3"/>
  <c r="P76" i="3"/>
  <c r="Q76" i="3"/>
  <c r="R76" i="3"/>
  <c r="S76" i="3"/>
  <c r="T76" i="3"/>
  <c r="U76" i="3"/>
  <c r="D77" i="3"/>
  <c r="E77" i="3"/>
  <c r="P77" i="3"/>
  <c r="Q77" i="3"/>
  <c r="R77" i="3"/>
  <c r="S77" i="3"/>
  <c r="T77" i="3"/>
  <c r="U77" i="3"/>
  <c r="D78" i="3"/>
  <c r="E78" i="3"/>
  <c r="P78" i="3"/>
  <c r="Q78" i="3"/>
  <c r="R78" i="3"/>
  <c r="S78" i="3"/>
  <c r="T78" i="3"/>
  <c r="U78" i="3"/>
  <c r="C76" i="3"/>
  <c r="C77" i="3"/>
  <c r="C78" i="3"/>
  <c r="C75" i="3"/>
  <c r="E68" i="3"/>
  <c r="F68" i="3"/>
  <c r="H68" i="3"/>
  <c r="I68" i="3"/>
  <c r="K68" i="3"/>
  <c r="L68" i="3"/>
  <c r="N68" i="3"/>
  <c r="O68" i="3"/>
  <c r="Q68" i="3"/>
  <c r="R68" i="3"/>
  <c r="T68" i="3"/>
  <c r="U68" i="3"/>
  <c r="E70" i="3"/>
  <c r="F70" i="3"/>
  <c r="H70" i="3"/>
  <c r="I70" i="3"/>
  <c r="K70" i="3"/>
  <c r="L70" i="3"/>
  <c r="N70" i="3"/>
  <c r="O70" i="3"/>
  <c r="Q70" i="3"/>
  <c r="R70" i="3"/>
  <c r="T70" i="3"/>
  <c r="U70" i="3"/>
  <c r="C69" i="3"/>
  <c r="C70" i="3"/>
  <c r="C71" i="3"/>
  <c r="C72" i="3"/>
  <c r="C73" i="3"/>
  <c r="C68" i="3"/>
  <c r="K12" i="58"/>
  <c r="J72" i="3" s="1"/>
  <c r="L12" i="58"/>
  <c r="K72" i="3" s="1"/>
  <c r="P12" i="58"/>
  <c r="O72" i="3" s="1"/>
  <c r="Q12" i="58"/>
  <c r="P72" i="3" s="1"/>
  <c r="U12" i="58"/>
  <c r="T72" i="3" s="1"/>
  <c r="G12" i="58"/>
  <c r="F72" i="3" s="1"/>
  <c r="G40" i="58"/>
  <c r="E37" i="58"/>
  <c r="G37" i="58" s="1"/>
  <c r="G38" i="58"/>
  <c r="E54" i="58"/>
  <c r="H54" i="58" s="1"/>
  <c r="E53" i="58"/>
  <c r="H53" i="58" s="1"/>
  <c r="H48" i="58"/>
  <c r="J12" i="58" s="1"/>
  <c r="I72" i="3" s="1"/>
  <c r="H47" i="58"/>
  <c r="E46" i="58"/>
  <c r="H46" i="58" s="1"/>
  <c r="G41" i="58"/>
  <c r="E36" i="58"/>
  <c r="G36" i="58" s="1"/>
  <c r="H31" i="58"/>
  <c r="H30" i="58"/>
  <c r="E29" i="58"/>
  <c r="H29" i="58" s="1"/>
  <c r="H24" i="58"/>
  <c r="E23" i="58"/>
  <c r="H23" i="58" s="1"/>
  <c r="E18" i="58"/>
  <c r="H18" i="58" s="1"/>
  <c r="E17" i="58"/>
  <c r="H17" i="58" s="1"/>
  <c r="E16" i="58"/>
  <c r="H16" i="58" s="1"/>
  <c r="B13" i="58"/>
  <c r="B9" i="58"/>
  <c r="B10" i="58"/>
  <c r="B11" i="58"/>
  <c r="B12" i="58"/>
  <c r="B8" i="58"/>
  <c r="B5" i="58"/>
  <c r="T12" i="58" l="1"/>
  <c r="S72" i="3" s="1"/>
  <c r="O12" i="58"/>
  <c r="N72" i="3" s="1"/>
  <c r="I12" i="58"/>
  <c r="H72" i="3" s="1"/>
  <c r="S12" i="58"/>
  <c r="R72" i="3" s="1"/>
  <c r="M12" i="58"/>
  <c r="L72" i="3" s="1"/>
  <c r="H12" i="58"/>
  <c r="G72" i="3" s="1"/>
  <c r="L12" i="20"/>
  <c r="K122" i="3" s="1"/>
  <c r="S138" i="3"/>
  <c r="C67" i="3"/>
  <c r="C76" i="59"/>
  <c r="E77" i="59"/>
  <c r="E75" i="59"/>
  <c r="C74" i="3"/>
  <c r="C117" i="3"/>
  <c r="T138" i="3"/>
  <c r="R138" i="3"/>
  <c r="V12" i="58"/>
  <c r="U72" i="3" s="1"/>
  <c r="R12" i="58"/>
  <c r="Q72" i="3" s="1"/>
  <c r="E72" i="59" s="1"/>
  <c r="N12" i="58"/>
  <c r="M72" i="3" s="1"/>
  <c r="C75" i="59"/>
  <c r="R74" i="3"/>
  <c r="E119" i="59"/>
  <c r="U138" i="3"/>
  <c r="E140" i="59"/>
  <c r="P138" i="3"/>
  <c r="V140" i="3"/>
  <c r="D141" i="59"/>
  <c r="C78" i="59"/>
  <c r="E78" i="59"/>
  <c r="E76" i="59"/>
  <c r="H53" i="39"/>
  <c r="N11" i="39"/>
  <c r="M114" i="3" s="1"/>
  <c r="R11" i="39"/>
  <c r="Q114" i="3" s="1"/>
  <c r="O11" i="39"/>
  <c r="N114" i="3" s="1"/>
  <c r="M11" i="39"/>
  <c r="P11" i="39"/>
  <c r="O114" i="3" s="1"/>
  <c r="Q11" i="39"/>
  <c r="Q138" i="3"/>
  <c r="H49" i="58"/>
  <c r="C77" i="59"/>
  <c r="T74" i="3"/>
  <c r="P74" i="3"/>
  <c r="D74" i="3"/>
  <c r="D119" i="59"/>
  <c r="J12" i="21"/>
  <c r="I128" i="3" s="1"/>
  <c r="N12" i="21"/>
  <c r="M128" i="3" s="1"/>
  <c r="R12" i="21"/>
  <c r="Q128" i="3" s="1"/>
  <c r="V12" i="21"/>
  <c r="U128" i="3" s="1"/>
  <c r="O12" i="21"/>
  <c r="N128" i="3" s="1"/>
  <c r="G12" i="21"/>
  <c r="F128" i="3" s="1"/>
  <c r="H12" i="21"/>
  <c r="G128" i="3" s="1"/>
  <c r="L12" i="21"/>
  <c r="K128" i="3" s="1"/>
  <c r="P12" i="21"/>
  <c r="O128" i="3" s="1"/>
  <c r="T12" i="21"/>
  <c r="S128" i="3" s="1"/>
  <c r="I12" i="21"/>
  <c r="H128" i="3" s="1"/>
  <c r="M12" i="21"/>
  <c r="L128" i="3" s="1"/>
  <c r="Q12" i="21"/>
  <c r="P128" i="3" s="1"/>
  <c r="U12" i="21"/>
  <c r="T128" i="3" s="1"/>
  <c r="K12" i="21"/>
  <c r="J128" i="3" s="1"/>
  <c r="S12" i="21"/>
  <c r="R128" i="3" s="1"/>
  <c r="D140" i="59"/>
  <c r="R110" i="3"/>
  <c r="D110" i="3"/>
  <c r="U110" i="3"/>
  <c r="T110" i="3"/>
  <c r="C110" i="3"/>
  <c r="S110" i="3"/>
  <c r="C115" i="59"/>
  <c r="E110" i="3"/>
  <c r="E111" i="59"/>
  <c r="C114" i="59"/>
  <c r="C113" i="59"/>
  <c r="C111" i="59"/>
  <c r="C112" i="59"/>
  <c r="W9" i="41"/>
  <c r="K12" i="20"/>
  <c r="J122" i="3" s="1"/>
  <c r="S12" i="20"/>
  <c r="R122" i="3" s="1"/>
  <c r="O12" i="20"/>
  <c r="N122" i="3" s="1"/>
  <c r="V12" i="20"/>
  <c r="U122" i="3" s="1"/>
  <c r="R12" i="20"/>
  <c r="Q122" i="3" s="1"/>
  <c r="N12" i="20"/>
  <c r="M122" i="3" s="1"/>
  <c r="U12" i="20"/>
  <c r="T122" i="3" s="1"/>
  <c r="Q12" i="20"/>
  <c r="P122" i="3" s="1"/>
  <c r="M12" i="20"/>
  <c r="L122" i="3" s="1"/>
  <c r="T12" i="20"/>
  <c r="S122" i="3" s="1"/>
  <c r="P12" i="20"/>
  <c r="O122" i="3" s="1"/>
  <c r="K114" i="3"/>
  <c r="P12" i="39"/>
  <c r="O115" i="3" s="1"/>
  <c r="L12" i="39"/>
  <c r="K115" i="3" s="1"/>
  <c r="J114" i="3"/>
  <c r="H12" i="39"/>
  <c r="G115" i="3" s="1"/>
  <c r="O12" i="39"/>
  <c r="N115" i="3" s="1"/>
  <c r="K12" i="39"/>
  <c r="J115" i="3" s="1"/>
  <c r="R12" i="39"/>
  <c r="Q115" i="3" s="1"/>
  <c r="N12" i="39"/>
  <c r="M115" i="3" s="1"/>
  <c r="J12" i="39"/>
  <c r="I115" i="3" s="1"/>
  <c r="Q12" i="39"/>
  <c r="P115" i="3" s="1"/>
  <c r="M12" i="39"/>
  <c r="L115" i="3" s="1"/>
  <c r="I12" i="39"/>
  <c r="H115" i="3" s="1"/>
  <c r="I114" i="3"/>
  <c r="P114" i="3"/>
  <c r="L114" i="3"/>
  <c r="H56" i="58"/>
  <c r="H32" i="58"/>
  <c r="H25" i="58"/>
  <c r="H19" i="58"/>
  <c r="I56" i="3"/>
  <c r="J56" i="3"/>
  <c r="K56" i="3"/>
  <c r="L56" i="3"/>
  <c r="M56" i="3"/>
  <c r="N56" i="3"/>
  <c r="O56" i="3"/>
  <c r="P56" i="3"/>
  <c r="Q56" i="3"/>
  <c r="R56" i="3"/>
  <c r="S56" i="3"/>
  <c r="T56" i="3"/>
  <c r="U56" i="3"/>
  <c r="Q58" i="3"/>
  <c r="R58" i="3"/>
  <c r="S58" i="3"/>
  <c r="T58" i="3"/>
  <c r="U58" i="3"/>
  <c r="P59" i="3"/>
  <c r="Q59" i="3"/>
  <c r="R59" i="3"/>
  <c r="S59" i="3"/>
  <c r="T59" i="3"/>
  <c r="U59" i="3"/>
  <c r="C57" i="3"/>
  <c r="C58" i="3"/>
  <c r="C59" i="3"/>
  <c r="C56" i="3"/>
  <c r="I63" i="3"/>
  <c r="J63" i="3"/>
  <c r="K63" i="3"/>
  <c r="L63" i="3"/>
  <c r="M63" i="3"/>
  <c r="N63" i="3"/>
  <c r="O63" i="3"/>
  <c r="P63" i="3"/>
  <c r="Q63" i="3"/>
  <c r="R63" i="3"/>
  <c r="S63" i="3"/>
  <c r="T63" i="3"/>
  <c r="U63" i="3"/>
  <c r="C62" i="3"/>
  <c r="C63" i="3"/>
  <c r="C64" i="3"/>
  <c r="C65" i="3"/>
  <c r="C66" i="3"/>
  <c r="C61" i="3"/>
  <c r="H55" i="11"/>
  <c r="N13" i="11" s="1"/>
  <c r="M66" i="3" s="1"/>
  <c r="H53" i="11"/>
  <c r="E52" i="11"/>
  <c r="H52" i="11" s="1"/>
  <c r="E51" i="11"/>
  <c r="H51" i="11" s="1"/>
  <c r="H45" i="11"/>
  <c r="L12" i="3"/>
  <c r="P12" i="3"/>
  <c r="D13" i="3"/>
  <c r="H13" i="3"/>
  <c r="I13" i="3"/>
  <c r="J13" i="3"/>
  <c r="K13" i="3"/>
  <c r="L13" i="3"/>
  <c r="M13" i="3"/>
  <c r="N13" i="3"/>
  <c r="O13" i="3"/>
  <c r="P13" i="3"/>
  <c r="Q13" i="3"/>
  <c r="R13" i="3"/>
  <c r="S13" i="3"/>
  <c r="T13" i="3"/>
  <c r="U13" i="3"/>
  <c r="D14" i="3"/>
  <c r="E14" i="3"/>
  <c r="I14" i="3"/>
  <c r="J14" i="3"/>
  <c r="K14" i="3"/>
  <c r="K12" i="3" s="1"/>
  <c r="L14" i="3"/>
  <c r="M14" i="3"/>
  <c r="N14" i="3"/>
  <c r="O14" i="3"/>
  <c r="O12" i="3" s="1"/>
  <c r="P14" i="3"/>
  <c r="Q14" i="3"/>
  <c r="R14" i="3"/>
  <c r="S14" i="3"/>
  <c r="S12" i="3" s="1"/>
  <c r="T14" i="3"/>
  <c r="T12" i="3" s="1"/>
  <c r="U14" i="3"/>
  <c r="D15" i="3"/>
  <c r="E15" i="3"/>
  <c r="I15" i="3"/>
  <c r="J15" i="3"/>
  <c r="K15" i="3"/>
  <c r="L15" i="3"/>
  <c r="M15" i="3"/>
  <c r="N15" i="3"/>
  <c r="O15" i="3"/>
  <c r="P15" i="3"/>
  <c r="Q15" i="3"/>
  <c r="R15" i="3"/>
  <c r="S15" i="3"/>
  <c r="T15" i="3"/>
  <c r="U15" i="3"/>
  <c r="C14" i="3"/>
  <c r="C15" i="3"/>
  <c r="C13" i="3"/>
  <c r="E17" i="32"/>
  <c r="H17" i="32" s="1"/>
  <c r="E16" i="32"/>
  <c r="H16" i="32" s="1"/>
  <c r="E20" i="32"/>
  <c r="H20" i="32" s="1"/>
  <c r="E38" i="32"/>
  <c r="H38" i="32" s="1"/>
  <c r="E26" i="32"/>
  <c r="H26" i="32" s="1"/>
  <c r="E19" i="32"/>
  <c r="H19" i="32" s="1"/>
  <c r="E15" i="32"/>
  <c r="H15" i="32" s="1"/>
  <c r="E18" i="32"/>
  <c r="H18" i="32" s="1"/>
  <c r="D155" i="3"/>
  <c r="D156" i="3"/>
  <c r="H156" i="3"/>
  <c r="I156" i="3"/>
  <c r="J156" i="3"/>
  <c r="K156" i="3"/>
  <c r="L156" i="3"/>
  <c r="M156" i="3"/>
  <c r="N156" i="3"/>
  <c r="O156" i="3"/>
  <c r="P156" i="3"/>
  <c r="Q156" i="3"/>
  <c r="R156" i="3"/>
  <c r="S156" i="3"/>
  <c r="T156" i="3"/>
  <c r="U156" i="3"/>
  <c r="D157" i="3"/>
  <c r="E157" i="3"/>
  <c r="D158" i="3"/>
  <c r="E158" i="3"/>
  <c r="D159" i="3"/>
  <c r="E159" i="3"/>
  <c r="C157" i="3"/>
  <c r="C158" i="3"/>
  <c r="C159" i="3"/>
  <c r="C156" i="3"/>
  <c r="E23" i="27"/>
  <c r="H23" i="27" s="1"/>
  <c r="E22" i="27"/>
  <c r="H22" i="27" s="1"/>
  <c r="E152" i="3"/>
  <c r="O152" i="3"/>
  <c r="Q152" i="3"/>
  <c r="S152" i="3"/>
  <c r="U152" i="3"/>
  <c r="D153" i="3"/>
  <c r="E153" i="3"/>
  <c r="F153" i="3"/>
  <c r="G153" i="3"/>
  <c r="K153" i="3"/>
  <c r="L153" i="3"/>
  <c r="N153" i="3"/>
  <c r="O153" i="3"/>
  <c r="Q153" i="3"/>
  <c r="R153" i="3"/>
  <c r="S153" i="3"/>
  <c r="T153" i="3"/>
  <c r="U153" i="3"/>
  <c r="D154" i="3"/>
  <c r="E154" i="3"/>
  <c r="F154" i="3"/>
  <c r="L154" i="3"/>
  <c r="M154" i="3"/>
  <c r="N154" i="3"/>
  <c r="O154" i="3"/>
  <c r="P154" i="3"/>
  <c r="Q154" i="3"/>
  <c r="R154" i="3"/>
  <c r="S154" i="3"/>
  <c r="T154" i="3"/>
  <c r="U154" i="3"/>
  <c r="C154" i="3"/>
  <c r="C153" i="3"/>
  <c r="D147" i="3"/>
  <c r="P147" i="3"/>
  <c r="R147" i="3"/>
  <c r="T147" i="3"/>
  <c r="D148" i="3"/>
  <c r="E148" i="3"/>
  <c r="J148" i="3"/>
  <c r="K148" i="3"/>
  <c r="L148" i="3"/>
  <c r="M148" i="3"/>
  <c r="N148" i="3"/>
  <c r="O148" i="3"/>
  <c r="P148" i="3"/>
  <c r="Q148" i="3"/>
  <c r="R148" i="3"/>
  <c r="S148" i="3"/>
  <c r="T148" i="3"/>
  <c r="U148" i="3"/>
  <c r="D149" i="3"/>
  <c r="E149" i="3"/>
  <c r="J149" i="3"/>
  <c r="K149" i="3"/>
  <c r="L149" i="3"/>
  <c r="M149" i="3"/>
  <c r="N149" i="3"/>
  <c r="O149" i="3"/>
  <c r="P149" i="3"/>
  <c r="Q149" i="3"/>
  <c r="R149" i="3"/>
  <c r="S149" i="3"/>
  <c r="T149" i="3"/>
  <c r="U149" i="3"/>
  <c r="D150" i="3"/>
  <c r="E150" i="3"/>
  <c r="P150" i="3"/>
  <c r="Q150" i="3"/>
  <c r="R150" i="3"/>
  <c r="S150" i="3"/>
  <c r="T150" i="3"/>
  <c r="U150" i="3"/>
  <c r="D151" i="3"/>
  <c r="E151" i="3"/>
  <c r="J151" i="3"/>
  <c r="K151" i="3"/>
  <c r="L151" i="3"/>
  <c r="M151" i="3"/>
  <c r="N151" i="3"/>
  <c r="O151" i="3"/>
  <c r="P151" i="3"/>
  <c r="Q151" i="3"/>
  <c r="R151" i="3"/>
  <c r="S151" i="3"/>
  <c r="T151" i="3"/>
  <c r="U151" i="3"/>
  <c r="C149" i="3"/>
  <c r="C150" i="3"/>
  <c r="C151" i="3"/>
  <c r="C148" i="3"/>
  <c r="H31" i="25"/>
  <c r="D144" i="3"/>
  <c r="E144" i="3"/>
  <c r="F144" i="3"/>
  <c r="D145" i="3"/>
  <c r="E145" i="3"/>
  <c r="F145" i="3"/>
  <c r="G145" i="3"/>
  <c r="K145" i="3"/>
  <c r="L145" i="3"/>
  <c r="M145" i="3"/>
  <c r="N145" i="3"/>
  <c r="O145" i="3"/>
  <c r="P145" i="3"/>
  <c r="Q145" i="3"/>
  <c r="R145" i="3"/>
  <c r="S145" i="3"/>
  <c r="T145" i="3"/>
  <c r="U145" i="3"/>
  <c r="D146" i="3"/>
  <c r="E146" i="3"/>
  <c r="F146" i="3"/>
  <c r="G146" i="3"/>
  <c r="C145" i="3"/>
  <c r="C146" i="3"/>
  <c r="C144" i="3"/>
  <c r="G20" i="24"/>
  <c r="E20" i="24"/>
  <c r="G14" i="24"/>
  <c r="B8" i="37"/>
  <c r="E37" i="11"/>
  <c r="G37" i="11" s="1"/>
  <c r="G39" i="11"/>
  <c r="E36" i="11"/>
  <c r="G36" i="11" s="1"/>
  <c r="E18" i="11"/>
  <c r="H18" i="11" s="1"/>
  <c r="E17" i="11"/>
  <c r="H17" i="11" s="1"/>
  <c r="B4" i="58"/>
  <c r="B9" i="11"/>
  <c r="B10" i="11"/>
  <c r="B11" i="11"/>
  <c r="B12" i="11"/>
  <c r="B13" i="11"/>
  <c r="B8" i="11"/>
  <c r="F10" i="12"/>
  <c r="E58" i="3" s="1"/>
  <c r="G33" i="12"/>
  <c r="G31" i="12"/>
  <c r="E10" i="12" s="1"/>
  <c r="H26" i="12"/>
  <c r="E16" i="12"/>
  <c r="G16" i="12" s="1"/>
  <c r="D53" i="3"/>
  <c r="E53" i="3"/>
  <c r="K53" i="3"/>
  <c r="L53" i="3"/>
  <c r="M53" i="3"/>
  <c r="N53" i="3"/>
  <c r="O53" i="3"/>
  <c r="P53" i="3"/>
  <c r="Q53" i="3"/>
  <c r="R53" i="3"/>
  <c r="S53" i="3"/>
  <c r="T53" i="3"/>
  <c r="U53" i="3"/>
  <c r="C53" i="3"/>
  <c r="C52" i="3"/>
  <c r="D52" i="3"/>
  <c r="G52" i="3"/>
  <c r="I52" i="3"/>
  <c r="K52" i="3"/>
  <c r="M52" i="3"/>
  <c r="O52" i="3"/>
  <c r="P52" i="3"/>
  <c r="Q52" i="3"/>
  <c r="R52" i="3"/>
  <c r="S52" i="3"/>
  <c r="T52" i="3"/>
  <c r="U52" i="3"/>
  <c r="C51" i="3"/>
  <c r="D51" i="3"/>
  <c r="H51" i="3"/>
  <c r="I51" i="3"/>
  <c r="J51" i="3"/>
  <c r="K51" i="3"/>
  <c r="L51" i="3"/>
  <c r="M51" i="3"/>
  <c r="N51" i="3"/>
  <c r="O51" i="3"/>
  <c r="P51" i="3"/>
  <c r="Q51" i="3"/>
  <c r="R51" i="3"/>
  <c r="S51" i="3"/>
  <c r="T51" i="3"/>
  <c r="U51" i="3"/>
  <c r="C50" i="3"/>
  <c r="D50" i="3"/>
  <c r="H50" i="3"/>
  <c r="I50" i="3"/>
  <c r="J50" i="3"/>
  <c r="K50" i="3"/>
  <c r="L50" i="3"/>
  <c r="M50" i="3"/>
  <c r="N50" i="3"/>
  <c r="O50" i="3"/>
  <c r="P50" i="3"/>
  <c r="Q50" i="3"/>
  <c r="R50" i="3"/>
  <c r="S50" i="3"/>
  <c r="T50" i="3"/>
  <c r="U50" i="3"/>
  <c r="D49" i="3"/>
  <c r="H49" i="3"/>
  <c r="I49" i="3"/>
  <c r="J49" i="3"/>
  <c r="K49" i="3"/>
  <c r="L49" i="3"/>
  <c r="M49" i="3"/>
  <c r="N49" i="3"/>
  <c r="O49" i="3"/>
  <c r="P49" i="3"/>
  <c r="Q49" i="3"/>
  <c r="R49" i="3"/>
  <c r="S49" i="3"/>
  <c r="T49" i="3"/>
  <c r="U49" i="3"/>
  <c r="C49" i="3"/>
  <c r="G45" i="10"/>
  <c r="D41" i="3"/>
  <c r="E41" i="3"/>
  <c r="H41" i="3"/>
  <c r="I41" i="3"/>
  <c r="J41" i="3"/>
  <c r="K41" i="3"/>
  <c r="L41" i="3"/>
  <c r="M41" i="3"/>
  <c r="N41" i="3"/>
  <c r="O41" i="3"/>
  <c r="P41" i="3"/>
  <c r="Q41" i="3"/>
  <c r="R41" i="3"/>
  <c r="S41" i="3"/>
  <c r="T41" i="3"/>
  <c r="U41" i="3"/>
  <c r="D42" i="3"/>
  <c r="E42" i="3"/>
  <c r="S42" i="3"/>
  <c r="T42" i="3"/>
  <c r="U42" i="3"/>
  <c r="D43" i="3"/>
  <c r="E43" i="3"/>
  <c r="F43" i="3"/>
  <c r="G43" i="3"/>
  <c r="S43" i="3"/>
  <c r="T43" i="3"/>
  <c r="U43" i="3"/>
  <c r="D44" i="3"/>
  <c r="E44" i="3"/>
  <c r="F44" i="3"/>
  <c r="G44" i="3"/>
  <c r="K44" i="3"/>
  <c r="L44" i="3"/>
  <c r="M44" i="3"/>
  <c r="N44" i="3"/>
  <c r="O44" i="3"/>
  <c r="P44" i="3"/>
  <c r="Q44" i="3"/>
  <c r="R44" i="3"/>
  <c r="S44" i="3"/>
  <c r="T44" i="3"/>
  <c r="U44" i="3"/>
  <c r="D45" i="3"/>
  <c r="F45" i="3"/>
  <c r="H45" i="3"/>
  <c r="I45" i="3"/>
  <c r="J45" i="3"/>
  <c r="L45" i="3"/>
  <c r="M45" i="3"/>
  <c r="N45" i="3"/>
  <c r="P45" i="3"/>
  <c r="Q45" i="3"/>
  <c r="R45" i="3"/>
  <c r="T45" i="3"/>
  <c r="U45" i="3"/>
  <c r="D46" i="3"/>
  <c r="D47" i="3"/>
  <c r="E47" i="3"/>
  <c r="K47" i="3"/>
  <c r="L47" i="3"/>
  <c r="M47" i="3"/>
  <c r="N47" i="3"/>
  <c r="O47" i="3"/>
  <c r="P47" i="3"/>
  <c r="Q47" i="3"/>
  <c r="R47" i="3"/>
  <c r="S47" i="3"/>
  <c r="T47" i="3"/>
  <c r="U47" i="3"/>
  <c r="C42" i="3"/>
  <c r="C43" i="3"/>
  <c r="C44" i="3"/>
  <c r="C45" i="3"/>
  <c r="C46" i="3"/>
  <c r="C47" i="3"/>
  <c r="C41" i="3"/>
  <c r="E56" i="9"/>
  <c r="E36" i="9"/>
  <c r="G36" i="9" s="1"/>
  <c r="E26" i="9"/>
  <c r="H26" i="9" s="1"/>
  <c r="E27" i="9"/>
  <c r="H27" i="9" s="1"/>
  <c r="E19" i="9"/>
  <c r="H19" i="9" s="1"/>
  <c r="E18" i="9"/>
  <c r="H18" i="9" s="1"/>
  <c r="D32" i="3"/>
  <c r="D33" i="3"/>
  <c r="E33" i="3"/>
  <c r="H33" i="3"/>
  <c r="I33" i="3"/>
  <c r="J33" i="3"/>
  <c r="K33" i="3"/>
  <c r="L33" i="3"/>
  <c r="M33" i="3"/>
  <c r="N33" i="3"/>
  <c r="O33" i="3"/>
  <c r="P33" i="3"/>
  <c r="R33" i="3"/>
  <c r="S33" i="3"/>
  <c r="T33" i="3"/>
  <c r="U33" i="3"/>
  <c r="D34" i="3"/>
  <c r="E34" i="3"/>
  <c r="H34" i="3"/>
  <c r="I34" i="3"/>
  <c r="J34" i="3"/>
  <c r="K34" i="3"/>
  <c r="L34" i="3"/>
  <c r="M34" i="3"/>
  <c r="N34" i="3"/>
  <c r="O34" i="3"/>
  <c r="P34" i="3"/>
  <c r="R34" i="3"/>
  <c r="S34" i="3"/>
  <c r="T34" i="3"/>
  <c r="U34" i="3"/>
  <c r="D35" i="3"/>
  <c r="E35" i="3"/>
  <c r="F35" i="3"/>
  <c r="G35" i="3"/>
  <c r="S35" i="3"/>
  <c r="T35" i="3"/>
  <c r="U35" i="3"/>
  <c r="D36" i="3"/>
  <c r="D37" i="3"/>
  <c r="D38" i="3"/>
  <c r="J38" i="3"/>
  <c r="K38" i="3"/>
  <c r="L38" i="3"/>
  <c r="M38" i="3"/>
  <c r="N38" i="3"/>
  <c r="O38" i="3"/>
  <c r="P38" i="3"/>
  <c r="Q38" i="3"/>
  <c r="R38" i="3"/>
  <c r="S38" i="3"/>
  <c r="T38" i="3"/>
  <c r="U38" i="3"/>
  <c r="D39" i="3"/>
  <c r="C32" i="3"/>
  <c r="C33" i="3"/>
  <c r="C34" i="3"/>
  <c r="C35" i="3"/>
  <c r="C36" i="3"/>
  <c r="C37" i="3"/>
  <c r="C38" i="3"/>
  <c r="C39" i="3"/>
  <c r="C31" i="3"/>
  <c r="O16" i="8"/>
  <c r="N39" i="3" s="1"/>
  <c r="I16" i="8"/>
  <c r="H39" i="3" s="1"/>
  <c r="G76" i="8"/>
  <c r="G52" i="8"/>
  <c r="G51" i="8"/>
  <c r="G50" i="8"/>
  <c r="E45" i="8"/>
  <c r="H45" i="8" s="1"/>
  <c r="E42" i="8"/>
  <c r="H42" i="8" s="1"/>
  <c r="E27" i="8"/>
  <c r="H27" i="8" s="1"/>
  <c r="E37" i="8"/>
  <c r="E70" i="8"/>
  <c r="H70" i="8" s="1"/>
  <c r="E58" i="8"/>
  <c r="H58" i="8" s="1"/>
  <c r="E34" i="8"/>
  <c r="H34" i="8" s="1"/>
  <c r="E25" i="8"/>
  <c r="H25" i="8" s="1"/>
  <c r="H28" i="8"/>
  <c r="R13" i="11" l="1"/>
  <c r="Q66" i="3" s="1"/>
  <c r="V13" i="11"/>
  <c r="U66" i="3" s="1"/>
  <c r="F13" i="11"/>
  <c r="E66" i="3" s="1"/>
  <c r="D72" i="59"/>
  <c r="U48" i="3"/>
  <c r="S147" i="3"/>
  <c r="C154" i="59"/>
  <c r="C14" i="59"/>
  <c r="C42" i="59"/>
  <c r="S48" i="3"/>
  <c r="C48" i="3"/>
  <c r="F152" i="3"/>
  <c r="C34" i="59"/>
  <c r="D40" i="3"/>
  <c r="Q48" i="3"/>
  <c r="C145" i="59"/>
  <c r="F143" i="3"/>
  <c r="U147" i="3"/>
  <c r="Q147" i="3"/>
  <c r="E154" i="59"/>
  <c r="C152" i="3"/>
  <c r="C155" i="3"/>
  <c r="E14" i="59"/>
  <c r="D12" i="3"/>
  <c r="C30" i="3"/>
  <c r="M48" i="3"/>
  <c r="C144" i="59"/>
  <c r="C143" i="3"/>
  <c r="E147" i="3"/>
  <c r="L152" i="3"/>
  <c r="C158" i="59"/>
  <c r="R12" i="3"/>
  <c r="N12" i="3"/>
  <c r="J12" i="3"/>
  <c r="E44" i="59"/>
  <c r="K48" i="3"/>
  <c r="C148" i="59"/>
  <c r="C147" i="3"/>
  <c r="T152" i="3"/>
  <c r="R16" i="8"/>
  <c r="Q39" i="3" s="1"/>
  <c r="F16" i="8"/>
  <c r="L16" i="8"/>
  <c r="K39" i="3" s="1"/>
  <c r="U16" i="8"/>
  <c r="T39" i="3" s="1"/>
  <c r="E38" i="59"/>
  <c r="C41" i="59"/>
  <c r="C40" i="3"/>
  <c r="C44" i="59"/>
  <c r="E47" i="59"/>
  <c r="E41" i="59"/>
  <c r="E51" i="59"/>
  <c r="O48" i="3"/>
  <c r="D58" i="3"/>
  <c r="E145" i="59"/>
  <c r="D143" i="3"/>
  <c r="C150" i="59"/>
  <c r="E147" i="59"/>
  <c r="R152" i="3"/>
  <c r="N152" i="3"/>
  <c r="D152" i="3"/>
  <c r="I13" i="11"/>
  <c r="H66" i="3" s="1"/>
  <c r="M13" i="11"/>
  <c r="L66" i="3" s="1"/>
  <c r="Q13" i="11"/>
  <c r="P66" i="3" s="1"/>
  <c r="U13" i="11"/>
  <c r="T66" i="3" s="1"/>
  <c r="G13" i="11"/>
  <c r="F66" i="3" s="1"/>
  <c r="K13" i="11"/>
  <c r="J66" i="3" s="1"/>
  <c r="O13" i="11"/>
  <c r="N66" i="3" s="1"/>
  <c r="S13" i="11"/>
  <c r="R66" i="3" s="1"/>
  <c r="E13" i="11"/>
  <c r="D66" i="3" s="1"/>
  <c r="H13" i="11"/>
  <c r="G66" i="3" s="1"/>
  <c r="L13" i="11"/>
  <c r="K66" i="3" s="1"/>
  <c r="P13" i="11"/>
  <c r="O66" i="3" s="1"/>
  <c r="T13" i="11"/>
  <c r="S66" i="3" s="1"/>
  <c r="J13" i="11"/>
  <c r="I66" i="3" s="1"/>
  <c r="E15" i="59"/>
  <c r="E13" i="59"/>
  <c r="C66" i="59"/>
  <c r="E63" i="59"/>
  <c r="E56" i="59"/>
  <c r="C55" i="3"/>
  <c r="G9" i="58"/>
  <c r="F69" i="3" s="1"/>
  <c r="K9" i="58"/>
  <c r="J69" i="3" s="1"/>
  <c r="O9" i="58"/>
  <c r="N69" i="3" s="1"/>
  <c r="S9" i="58"/>
  <c r="R69" i="3" s="1"/>
  <c r="E9" i="58"/>
  <c r="P9" i="58"/>
  <c r="O69" i="3" s="1"/>
  <c r="I9" i="58"/>
  <c r="H69" i="3" s="1"/>
  <c r="M9" i="58"/>
  <c r="L69" i="3" s="1"/>
  <c r="Q9" i="58"/>
  <c r="P69" i="3" s="1"/>
  <c r="U9" i="58"/>
  <c r="T69" i="3" s="1"/>
  <c r="F9" i="58"/>
  <c r="E69" i="3" s="1"/>
  <c r="J9" i="58"/>
  <c r="I69" i="3" s="1"/>
  <c r="N9" i="58"/>
  <c r="M69" i="3" s="1"/>
  <c r="R9" i="58"/>
  <c r="Q69" i="3" s="1"/>
  <c r="V9" i="58"/>
  <c r="U69" i="3" s="1"/>
  <c r="H9" i="58"/>
  <c r="G69" i="3" s="1"/>
  <c r="L9" i="58"/>
  <c r="K69" i="3" s="1"/>
  <c r="T9" i="58"/>
  <c r="S69" i="3" s="1"/>
  <c r="D128" i="59"/>
  <c r="V128" i="3"/>
  <c r="C35" i="59"/>
  <c r="C47" i="59"/>
  <c r="C43" i="59"/>
  <c r="E49" i="59"/>
  <c r="E52" i="59"/>
  <c r="E53" i="59"/>
  <c r="T48" i="3"/>
  <c r="P48" i="3"/>
  <c r="D48" i="3"/>
  <c r="C151" i="59"/>
  <c r="E151" i="59"/>
  <c r="E149" i="59"/>
  <c r="C153" i="59"/>
  <c r="C157" i="59"/>
  <c r="E156" i="59"/>
  <c r="C15" i="59"/>
  <c r="U12" i="3"/>
  <c r="Q12" i="3"/>
  <c r="M12" i="3"/>
  <c r="I12" i="3"/>
  <c r="K10" i="58"/>
  <c r="J70" i="3" s="1"/>
  <c r="H10" i="58"/>
  <c r="G70" i="3" s="1"/>
  <c r="Q10" i="58"/>
  <c r="P70" i="3" s="1"/>
  <c r="E10" i="58"/>
  <c r="N10" i="58"/>
  <c r="M70" i="3" s="1"/>
  <c r="T10" i="58"/>
  <c r="S70" i="3" s="1"/>
  <c r="E128" i="59"/>
  <c r="E138" i="59"/>
  <c r="E59" i="59"/>
  <c r="I13" i="58"/>
  <c r="H73" i="3" s="1"/>
  <c r="M13" i="58"/>
  <c r="L73" i="3" s="1"/>
  <c r="Q13" i="58"/>
  <c r="P73" i="3" s="1"/>
  <c r="U13" i="58"/>
  <c r="T73" i="3" s="1"/>
  <c r="F13" i="58"/>
  <c r="E73" i="3" s="1"/>
  <c r="N13" i="58"/>
  <c r="M73" i="3" s="1"/>
  <c r="V13" i="58"/>
  <c r="U73" i="3" s="1"/>
  <c r="G13" i="58"/>
  <c r="F73" i="3" s="1"/>
  <c r="K13" i="58"/>
  <c r="J73" i="3" s="1"/>
  <c r="O13" i="58"/>
  <c r="N73" i="3" s="1"/>
  <c r="S13" i="58"/>
  <c r="R73" i="3" s="1"/>
  <c r="E13" i="58"/>
  <c r="H13" i="58"/>
  <c r="G73" i="3" s="1"/>
  <c r="L13" i="58"/>
  <c r="K73" i="3" s="1"/>
  <c r="P13" i="58"/>
  <c r="O73" i="3" s="1"/>
  <c r="T13" i="58"/>
  <c r="S73" i="3" s="1"/>
  <c r="J13" i="58"/>
  <c r="I73" i="3" s="1"/>
  <c r="R13" i="58"/>
  <c r="Q73" i="3" s="1"/>
  <c r="E122" i="59"/>
  <c r="F12" i="58"/>
  <c r="E72" i="3" s="1"/>
  <c r="E12" i="58"/>
  <c r="C33" i="59"/>
  <c r="E50" i="59"/>
  <c r="C53" i="59"/>
  <c r="R48" i="3"/>
  <c r="C146" i="59"/>
  <c r="E143" i="3"/>
  <c r="C149" i="59"/>
  <c r="E150" i="59"/>
  <c r="E148" i="59"/>
  <c r="C159" i="59"/>
  <c r="C60" i="3"/>
  <c r="C58" i="59"/>
  <c r="N8" i="58"/>
  <c r="M68" i="3" s="1"/>
  <c r="K8" i="58"/>
  <c r="J68" i="3" s="1"/>
  <c r="T8" i="58"/>
  <c r="S68" i="3" s="1"/>
  <c r="H8" i="58"/>
  <c r="G68" i="3" s="1"/>
  <c r="Q8" i="58"/>
  <c r="P68" i="3" s="1"/>
  <c r="E8" i="58"/>
  <c r="E74" i="59"/>
  <c r="W11" i="39"/>
  <c r="F140" i="59"/>
  <c r="C116" i="3"/>
  <c r="C74" i="59"/>
  <c r="E115" i="59"/>
  <c r="D115" i="59"/>
  <c r="E114" i="59"/>
  <c r="V115" i="3"/>
  <c r="H114" i="3"/>
  <c r="C110" i="59"/>
  <c r="W12" i="39"/>
  <c r="V66" i="3"/>
  <c r="W10" i="58" l="1"/>
  <c r="D70" i="3"/>
  <c r="W13" i="58"/>
  <c r="D73" i="3"/>
  <c r="D73" i="59"/>
  <c r="D70" i="59"/>
  <c r="E48" i="59"/>
  <c r="F128" i="59"/>
  <c r="E12" i="59"/>
  <c r="C29" i="3"/>
  <c r="D68" i="3"/>
  <c r="W8" i="58"/>
  <c r="E73" i="59"/>
  <c r="E69" i="59"/>
  <c r="D69" i="3"/>
  <c r="W9" i="58"/>
  <c r="D69" i="59"/>
  <c r="E66" i="59"/>
  <c r="D142" i="3"/>
  <c r="E39" i="3"/>
  <c r="C147" i="59"/>
  <c r="C143" i="59"/>
  <c r="C142" i="3"/>
  <c r="E68" i="59"/>
  <c r="C54" i="3"/>
  <c r="D68" i="59"/>
  <c r="W12" i="58"/>
  <c r="D72" i="3"/>
  <c r="E70" i="59"/>
  <c r="F66" i="59"/>
  <c r="D66" i="59"/>
  <c r="C152" i="59"/>
  <c r="F115" i="59"/>
  <c r="V114" i="3"/>
  <c r="D114" i="59"/>
  <c r="C69" i="59" l="1"/>
  <c r="V69" i="3"/>
  <c r="V68" i="3"/>
  <c r="C68" i="59"/>
  <c r="V72" i="3"/>
  <c r="C72" i="59"/>
  <c r="V70" i="3"/>
  <c r="C70" i="59"/>
  <c r="V73" i="3"/>
  <c r="C73" i="59"/>
  <c r="C39" i="59"/>
  <c r="F114" i="59"/>
  <c r="E37" i="39"/>
  <c r="H37" i="39" s="1"/>
  <c r="E36" i="39"/>
  <c r="H36" i="39" s="1"/>
  <c r="E27" i="39"/>
  <c r="H27" i="39" s="1"/>
  <c r="E26" i="39"/>
  <c r="H26" i="39" s="1"/>
  <c r="E16" i="39"/>
  <c r="H16" i="39" s="1"/>
  <c r="H17" i="39"/>
  <c r="S104" i="3"/>
  <c r="U104" i="3"/>
  <c r="F105" i="3"/>
  <c r="G105" i="3"/>
  <c r="H105" i="3"/>
  <c r="I105" i="3"/>
  <c r="J105" i="3"/>
  <c r="K105" i="3"/>
  <c r="L105" i="3"/>
  <c r="O105" i="3"/>
  <c r="P105" i="3"/>
  <c r="Q105" i="3"/>
  <c r="R105" i="3"/>
  <c r="S105" i="3"/>
  <c r="T105" i="3"/>
  <c r="U105" i="3"/>
  <c r="D106" i="3"/>
  <c r="E106" i="3"/>
  <c r="H106" i="3"/>
  <c r="I106" i="3"/>
  <c r="J106" i="3"/>
  <c r="K106" i="3"/>
  <c r="L106" i="3"/>
  <c r="M106" i="3"/>
  <c r="N106" i="3"/>
  <c r="Q106" i="3"/>
  <c r="R106" i="3"/>
  <c r="S106" i="3"/>
  <c r="T106" i="3"/>
  <c r="U106" i="3"/>
  <c r="D107" i="3"/>
  <c r="E107" i="3"/>
  <c r="F107" i="3"/>
  <c r="G107" i="3"/>
  <c r="J107" i="3"/>
  <c r="K107" i="3"/>
  <c r="L107" i="3"/>
  <c r="M107" i="3"/>
  <c r="N107" i="3"/>
  <c r="O107" i="3"/>
  <c r="P107" i="3"/>
  <c r="S107" i="3"/>
  <c r="T107" i="3"/>
  <c r="U107" i="3"/>
  <c r="F108" i="3"/>
  <c r="G108" i="3"/>
  <c r="H108" i="3"/>
  <c r="I108" i="3"/>
  <c r="J108" i="3"/>
  <c r="K108" i="3"/>
  <c r="L108" i="3"/>
  <c r="M108" i="3"/>
  <c r="N108" i="3"/>
  <c r="O108" i="3"/>
  <c r="P108" i="3"/>
  <c r="Q108" i="3"/>
  <c r="R108" i="3"/>
  <c r="S108" i="3"/>
  <c r="T108" i="3"/>
  <c r="U108" i="3"/>
  <c r="P109" i="3"/>
  <c r="Q109" i="3"/>
  <c r="R109" i="3"/>
  <c r="S109" i="3"/>
  <c r="T109" i="3"/>
  <c r="U109" i="3"/>
  <c r="C106" i="3"/>
  <c r="C107" i="3"/>
  <c r="C108" i="3"/>
  <c r="C109" i="3"/>
  <c r="C105" i="3"/>
  <c r="E45" i="38"/>
  <c r="H45" i="38" s="1"/>
  <c r="H46" i="38" s="1"/>
  <c r="E55" i="38"/>
  <c r="H55" i="38" s="1"/>
  <c r="E54" i="38"/>
  <c r="H54" i="38" s="1"/>
  <c r="H53" i="38"/>
  <c r="H52" i="38"/>
  <c r="H17" i="38"/>
  <c r="E15" i="38"/>
  <c r="E16" i="38"/>
  <c r="H16" i="38" s="1"/>
  <c r="C102" i="3"/>
  <c r="C101" i="3"/>
  <c r="E28" i="37"/>
  <c r="G28" i="37" s="1"/>
  <c r="E27" i="37"/>
  <c r="G27" i="37" s="1"/>
  <c r="G30" i="37"/>
  <c r="G29" i="37"/>
  <c r="D97" i="3"/>
  <c r="Q97" i="3"/>
  <c r="R97" i="3"/>
  <c r="S97" i="3"/>
  <c r="T97" i="3"/>
  <c r="U97" i="3"/>
  <c r="D98" i="3"/>
  <c r="D99" i="3"/>
  <c r="C98" i="3"/>
  <c r="C99" i="3"/>
  <c r="C97" i="3"/>
  <c r="D90" i="3"/>
  <c r="D91" i="3"/>
  <c r="E91" i="3"/>
  <c r="D92" i="3"/>
  <c r="E92" i="3"/>
  <c r="F92" i="3"/>
  <c r="K92" i="3"/>
  <c r="L92" i="3"/>
  <c r="M92" i="3"/>
  <c r="N92" i="3"/>
  <c r="O92" i="3"/>
  <c r="P92" i="3"/>
  <c r="Q92" i="3"/>
  <c r="R92" i="3"/>
  <c r="S92" i="3"/>
  <c r="U92" i="3"/>
  <c r="D93" i="3"/>
  <c r="E93" i="3"/>
  <c r="F93" i="3"/>
  <c r="K93" i="3"/>
  <c r="L93" i="3"/>
  <c r="M93" i="3"/>
  <c r="N93" i="3"/>
  <c r="O93" i="3"/>
  <c r="P93" i="3"/>
  <c r="Q93" i="3"/>
  <c r="R93" i="3"/>
  <c r="S93" i="3"/>
  <c r="U93" i="3"/>
  <c r="D94" i="3"/>
  <c r="E94" i="3"/>
  <c r="F94" i="3"/>
  <c r="K94" i="3"/>
  <c r="L94" i="3"/>
  <c r="M94" i="3"/>
  <c r="N94" i="3"/>
  <c r="O94" i="3"/>
  <c r="P94" i="3"/>
  <c r="Q94" i="3"/>
  <c r="R94" i="3"/>
  <c r="S94" i="3"/>
  <c r="U94" i="3"/>
  <c r="C92" i="3"/>
  <c r="C93" i="3"/>
  <c r="C94" i="3"/>
  <c r="C91" i="3"/>
  <c r="D81" i="3"/>
  <c r="H81" i="3"/>
  <c r="I81" i="3"/>
  <c r="K81" i="3"/>
  <c r="L81" i="3"/>
  <c r="N81" i="3"/>
  <c r="O81" i="3"/>
  <c r="Q81" i="3"/>
  <c r="R81" i="3"/>
  <c r="T81" i="3"/>
  <c r="U81" i="3"/>
  <c r="D82" i="3"/>
  <c r="E82" i="3"/>
  <c r="H82" i="3"/>
  <c r="I82" i="3"/>
  <c r="J82" i="3"/>
  <c r="K82" i="3"/>
  <c r="M82" i="3"/>
  <c r="N82" i="3"/>
  <c r="O82" i="3"/>
  <c r="P82" i="3"/>
  <c r="R82" i="3"/>
  <c r="S82" i="3"/>
  <c r="T82" i="3"/>
  <c r="U82" i="3"/>
  <c r="D83" i="3"/>
  <c r="E83" i="3"/>
  <c r="H83" i="3"/>
  <c r="I83" i="3"/>
  <c r="J83" i="3"/>
  <c r="K83" i="3"/>
  <c r="L83" i="3"/>
  <c r="M83" i="3"/>
  <c r="N83" i="3"/>
  <c r="O83" i="3"/>
  <c r="P83" i="3"/>
  <c r="Q83" i="3"/>
  <c r="R83" i="3"/>
  <c r="S83" i="3"/>
  <c r="T83" i="3"/>
  <c r="U83" i="3"/>
  <c r="D84" i="3"/>
  <c r="E84" i="3"/>
  <c r="H84" i="3"/>
  <c r="I84" i="3"/>
  <c r="J84" i="3"/>
  <c r="K84" i="3"/>
  <c r="L84" i="3"/>
  <c r="M84" i="3"/>
  <c r="N84" i="3"/>
  <c r="O84" i="3"/>
  <c r="P84" i="3"/>
  <c r="Q84" i="3"/>
  <c r="R84" i="3"/>
  <c r="S84" i="3"/>
  <c r="T84" i="3"/>
  <c r="U84" i="3"/>
  <c r="D85" i="3"/>
  <c r="E85" i="3"/>
  <c r="I85" i="3"/>
  <c r="J85" i="3"/>
  <c r="L85" i="3"/>
  <c r="M85" i="3"/>
  <c r="N85" i="3"/>
  <c r="P85" i="3"/>
  <c r="Q85" i="3"/>
  <c r="R85" i="3"/>
  <c r="T85" i="3"/>
  <c r="U85" i="3"/>
  <c r="D86" i="3"/>
  <c r="D87" i="3"/>
  <c r="E87" i="3"/>
  <c r="D88" i="3"/>
  <c r="E88" i="3"/>
  <c r="I88" i="3"/>
  <c r="K88" i="3"/>
  <c r="M88" i="3"/>
  <c r="O88" i="3"/>
  <c r="Q88" i="3"/>
  <c r="S88" i="3"/>
  <c r="U88" i="3"/>
  <c r="D89" i="3"/>
  <c r="C82" i="3"/>
  <c r="C83" i="3"/>
  <c r="C84" i="3"/>
  <c r="C85" i="3"/>
  <c r="C86" i="3"/>
  <c r="C87" i="3"/>
  <c r="C88" i="3"/>
  <c r="C89" i="3"/>
  <c r="C81" i="3"/>
  <c r="C80" i="3" s="1"/>
  <c r="C28" i="3"/>
  <c r="D28" i="3"/>
  <c r="E28" i="3"/>
  <c r="C27" i="3"/>
  <c r="C26" i="3" s="1"/>
  <c r="E25" i="35"/>
  <c r="G25" i="35" s="1"/>
  <c r="E24" i="35"/>
  <c r="E23" i="35"/>
  <c r="G23" i="35" s="1"/>
  <c r="E22" i="35"/>
  <c r="G22" i="35" s="1"/>
  <c r="G24" i="35"/>
  <c r="E21" i="35"/>
  <c r="G21" i="35"/>
  <c r="G13" i="35"/>
  <c r="C25" i="3"/>
  <c r="D25" i="3"/>
  <c r="E25" i="3"/>
  <c r="F25" i="3"/>
  <c r="G25" i="3"/>
  <c r="H25" i="3"/>
  <c r="C24" i="3"/>
  <c r="D24" i="3"/>
  <c r="E24" i="3"/>
  <c r="F24" i="3"/>
  <c r="I24" i="3"/>
  <c r="J24" i="3"/>
  <c r="K24" i="3"/>
  <c r="M24" i="3"/>
  <c r="N24" i="3"/>
  <c r="O24" i="3"/>
  <c r="Q24" i="3"/>
  <c r="R24" i="3"/>
  <c r="S24" i="3"/>
  <c r="U24" i="3"/>
  <c r="C23" i="3"/>
  <c r="D23" i="3"/>
  <c r="E23" i="3"/>
  <c r="F23" i="3"/>
  <c r="Q23" i="3"/>
  <c r="R23" i="3"/>
  <c r="S23" i="3"/>
  <c r="T23" i="3"/>
  <c r="U23" i="3"/>
  <c r="C22" i="3"/>
  <c r="D22" i="3"/>
  <c r="E22" i="3"/>
  <c r="F22" i="3"/>
  <c r="D21" i="3"/>
  <c r="E21" i="3"/>
  <c r="C21" i="3"/>
  <c r="I38" i="34"/>
  <c r="D36" i="34"/>
  <c r="D17" i="3"/>
  <c r="E17" i="3"/>
  <c r="H17" i="3"/>
  <c r="I17" i="3"/>
  <c r="J17" i="3"/>
  <c r="K17" i="3"/>
  <c r="L17" i="3"/>
  <c r="M17" i="3"/>
  <c r="N17" i="3"/>
  <c r="O17" i="3"/>
  <c r="P17" i="3"/>
  <c r="Q17" i="3"/>
  <c r="R17" i="3"/>
  <c r="S17" i="3"/>
  <c r="T17" i="3"/>
  <c r="U17" i="3"/>
  <c r="C18" i="3"/>
  <c r="C19" i="3"/>
  <c r="C17" i="3"/>
  <c r="C8" i="3"/>
  <c r="P8" i="3"/>
  <c r="Q8" i="3"/>
  <c r="R8" i="3"/>
  <c r="S8" i="3"/>
  <c r="T8" i="3"/>
  <c r="U8" i="3"/>
  <c r="C9" i="3"/>
  <c r="D9" i="3"/>
  <c r="E9" i="3"/>
  <c r="C10" i="3"/>
  <c r="D10" i="3"/>
  <c r="E10" i="3"/>
  <c r="C11" i="3"/>
  <c r="D11" i="3"/>
  <c r="S11" i="3"/>
  <c r="T11" i="3"/>
  <c r="U11" i="3"/>
  <c r="D7" i="3"/>
  <c r="C7" i="3"/>
  <c r="C17" i="59" l="1"/>
  <c r="E17" i="59"/>
  <c r="C10" i="59"/>
  <c r="C22" i="59"/>
  <c r="E20" i="3"/>
  <c r="C28" i="59"/>
  <c r="C88" i="59"/>
  <c r="C84" i="59"/>
  <c r="E83" i="59"/>
  <c r="D80" i="3"/>
  <c r="C91" i="59"/>
  <c r="C106" i="59"/>
  <c r="E108" i="59"/>
  <c r="U103" i="3"/>
  <c r="E8" i="59"/>
  <c r="C21" i="59"/>
  <c r="D20" i="3"/>
  <c r="C87" i="59"/>
  <c r="C83" i="59"/>
  <c r="C94" i="59"/>
  <c r="E90" i="3"/>
  <c r="T104" i="3"/>
  <c r="C24" i="59"/>
  <c r="C25" i="59"/>
  <c r="C20" i="3"/>
  <c r="C82" i="59"/>
  <c r="E84" i="59"/>
  <c r="C93" i="59"/>
  <c r="D96" i="3"/>
  <c r="C100" i="3"/>
  <c r="E109" i="59"/>
  <c r="D108" i="59"/>
  <c r="E105" i="59"/>
  <c r="S103" i="3"/>
  <c r="C104" i="3"/>
  <c r="F73" i="59"/>
  <c r="F70" i="59"/>
  <c r="F68" i="59"/>
  <c r="C9" i="59"/>
  <c r="C6" i="3"/>
  <c r="C16" i="3"/>
  <c r="C23" i="59"/>
  <c r="C85" i="59"/>
  <c r="C92" i="59"/>
  <c r="C90" i="3"/>
  <c r="C79" i="3" s="1"/>
  <c r="C96" i="3"/>
  <c r="C107" i="59"/>
  <c r="F72" i="59"/>
  <c r="F69" i="59"/>
  <c r="B11" i="12"/>
  <c r="B9" i="35"/>
  <c r="C95" i="3" l="1"/>
  <c r="D79" i="3"/>
  <c r="C90" i="59"/>
  <c r="C103" i="3"/>
  <c r="C5" i="3"/>
  <c r="C20" i="59"/>
  <c r="T103" i="3"/>
  <c r="H59" i="31"/>
  <c r="E36" i="31" l="1"/>
  <c r="E35" i="31"/>
  <c r="E33" i="31"/>
  <c r="H33" i="31" s="1"/>
  <c r="E18" i="31"/>
  <c r="H18" i="31" s="1"/>
  <c r="U15" i="42" l="1"/>
  <c r="T88" i="3" s="1"/>
  <c r="S15" i="42"/>
  <c r="R88" i="3" s="1"/>
  <c r="Q15" i="42"/>
  <c r="P88" i="3" s="1"/>
  <c r="E88" i="59" s="1"/>
  <c r="O15" i="42"/>
  <c r="N88" i="3" s="1"/>
  <c r="M15" i="42"/>
  <c r="L88" i="3" s="1"/>
  <c r="K15" i="42"/>
  <c r="J88" i="3" s="1"/>
  <c r="I15" i="42"/>
  <c r="H88" i="3" s="1"/>
  <c r="V14" i="42"/>
  <c r="U87" i="3" s="1"/>
  <c r="U14" i="42"/>
  <c r="T87" i="3" s="1"/>
  <c r="T14" i="42"/>
  <c r="S87" i="3" s="1"/>
  <c r="S14" i="42"/>
  <c r="R87" i="3" s="1"/>
  <c r="R14" i="42"/>
  <c r="Q87" i="3" s="1"/>
  <c r="Q14" i="42"/>
  <c r="P87" i="3" s="1"/>
  <c r="P14" i="42"/>
  <c r="O87" i="3" s="1"/>
  <c r="O14" i="42"/>
  <c r="N87" i="3" s="1"/>
  <c r="N14" i="42"/>
  <c r="M87" i="3" s="1"/>
  <c r="M14" i="42"/>
  <c r="L87" i="3" s="1"/>
  <c r="E87" i="59" l="1"/>
  <c r="E20" i="42"/>
  <c r="E35" i="42"/>
  <c r="H35" i="42" s="1"/>
  <c r="E34" i="42"/>
  <c r="H34" i="42" s="1"/>
  <c r="E36" i="42"/>
  <c r="H36" i="42" s="1"/>
  <c r="E37" i="42"/>
  <c r="H37" i="42" s="1"/>
  <c r="E24" i="42"/>
  <c r="E22" i="42"/>
  <c r="H71" i="42"/>
  <c r="I14" i="42" s="1"/>
  <c r="H87" i="3" s="1"/>
  <c r="H72" i="42"/>
  <c r="J14" i="42" s="1"/>
  <c r="I87" i="3" s="1"/>
  <c r="H73" i="42"/>
  <c r="K14" i="42" s="1"/>
  <c r="J87" i="3" s="1"/>
  <c r="H74" i="42"/>
  <c r="L14" i="42" s="1"/>
  <c r="K87" i="3" s="1"/>
  <c r="H70" i="42"/>
  <c r="H26" i="42"/>
  <c r="H25" i="42"/>
  <c r="G16" i="33"/>
  <c r="E15" i="33"/>
  <c r="G15" i="33" s="1"/>
  <c r="G14" i="33"/>
  <c r="H14" i="42" l="1"/>
  <c r="G87" i="3" s="1"/>
  <c r="H76" i="42"/>
  <c r="H31" i="43"/>
  <c r="H30" i="43"/>
  <c r="H29" i="43"/>
  <c r="E38" i="43"/>
  <c r="H38" i="43" s="1"/>
  <c r="E36" i="43"/>
  <c r="H36" i="43" s="1"/>
  <c r="E29" i="43"/>
  <c r="E16" i="43"/>
  <c r="H16" i="43" s="1"/>
  <c r="E15" i="43"/>
  <c r="H15" i="43" s="1"/>
  <c r="E14" i="13" l="1"/>
  <c r="H14" i="13" s="1"/>
  <c r="B8" i="13"/>
  <c r="I35" i="56" l="1"/>
  <c r="I32" i="56"/>
  <c r="I29" i="56"/>
  <c r="I26" i="56"/>
  <c r="I20" i="56"/>
  <c r="I16" i="56"/>
  <c r="I12" i="56"/>
  <c r="G35" i="56"/>
  <c r="G32" i="56"/>
  <c r="G29" i="56"/>
  <c r="G26" i="56"/>
  <c r="G23" i="56"/>
  <c r="G20" i="56"/>
  <c r="G16" i="56"/>
  <c r="G12" i="56"/>
  <c r="E35" i="56"/>
  <c r="E32" i="56"/>
  <c r="E29" i="56"/>
  <c r="E26" i="56"/>
  <c r="E23" i="56"/>
  <c r="E20" i="56"/>
  <c r="E16" i="56"/>
  <c r="E12" i="56"/>
  <c r="I6" i="56"/>
  <c r="G6" i="56"/>
  <c r="E6" i="56"/>
  <c r="AC54" i="52"/>
  <c r="AC135" i="52"/>
  <c r="AC133" i="52"/>
  <c r="Q123" i="52"/>
  <c r="AC131" i="52"/>
  <c r="AC129" i="52"/>
  <c r="AC128" i="52"/>
  <c r="AC126" i="52"/>
  <c r="AC125" i="52"/>
  <c r="AA126" i="52"/>
  <c r="AA125" i="52"/>
  <c r="AC105" i="52"/>
  <c r="AC103" i="52"/>
  <c r="AC102" i="52"/>
  <c r="AC101" i="52"/>
  <c r="AC100" i="52"/>
  <c r="AC95" i="52"/>
  <c r="O94" i="52"/>
  <c r="AC83" i="52"/>
  <c r="AC77" i="52"/>
  <c r="AC75" i="52"/>
  <c r="AC28" i="52"/>
  <c r="AC27" i="52"/>
  <c r="AA27" i="52"/>
  <c r="AC22" i="52"/>
  <c r="AC21" i="52"/>
  <c r="AA19" i="52"/>
  <c r="AC15" i="52"/>
  <c r="AA13" i="52"/>
  <c r="T12" i="52"/>
  <c r="AC9" i="52"/>
  <c r="AA8" i="52"/>
  <c r="AA11" i="52"/>
  <c r="AC153" i="52"/>
  <c r="AC150" i="52"/>
  <c r="AC147" i="52"/>
  <c r="AA153" i="52"/>
  <c r="AA151" i="52"/>
  <c r="AA150" i="52"/>
  <c r="AC148" i="52"/>
  <c r="AA148" i="52"/>
  <c r="AC145" i="52"/>
  <c r="AC143" i="52"/>
  <c r="AC142" i="52"/>
  <c r="AA144" i="52"/>
  <c r="AA142" i="52"/>
  <c r="AA139" i="52"/>
  <c r="AA138" i="52"/>
  <c r="AA120" i="52"/>
  <c r="AA122" i="52"/>
  <c r="AC118" i="52"/>
  <c r="AC119" i="52"/>
  <c r="AC120" i="52"/>
  <c r="AC122" i="52"/>
  <c r="AC46" i="52"/>
  <c r="AC45" i="52"/>
  <c r="AC44" i="52"/>
  <c r="AC43" i="52"/>
  <c r="AC42" i="52"/>
  <c r="AC53" i="52"/>
  <c r="AC52" i="52"/>
  <c r="AC51" i="52"/>
  <c r="AC49" i="52"/>
  <c r="AA116" i="52"/>
  <c r="AA115" i="52"/>
  <c r="AA113" i="52"/>
  <c r="Y116" i="52"/>
  <c r="AA72" i="52"/>
  <c r="AA71" i="52"/>
  <c r="AA67" i="52"/>
  <c r="AA66" i="52"/>
  <c r="AA65" i="52"/>
  <c r="AA64" i="52"/>
  <c r="AA62" i="52"/>
  <c r="AA61" i="52"/>
  <c r="H60" i="52"/>
  <c r="AA59" i="52"/>
  <c r="AA57" i="52"/>
  <c r="O55" i="52"/>
  <c r="AA52" i="52"/>
  <c r="AA51" i="52"/>
  <c r="Y52" i="52"/>
  <c r="F48" i="52"/>
  <c r="AA45" i="52"/>
  <c r="AA44" i="52"/>
  <c r="AA43" i="52"/>
  <c r="Y43" i="52"/>
  <c r="AA39" i="52"/>
  <c r="AA37" i="52"/>
  <c r="AA35" i="52"/>
  <c r="AA32" i="52"/>
  <c r="Y39" i="52"/>
  <c r="Y35" i="52"/>
  <c r="V30" i="52"/>
  <c r="C121" i="52"/>
  <c r="C122" i="52"/>
  <c r="Q105" i="52"/>
  <c r="Q103" i="52"/>
  <c r="C100" i="52"/>
  <c r="C87" i="52"/>
  <c r="Q77" i="52"/>
  <c r="Q78" i="52"/>
  <c r="Q81" i="52"/>
  <c r="C82" i="52"/>
  <c r="C72" i="52"/>
  <c r="Q52" i="52"/>
  <c r="Q41" i="52"/>
  <c r="C44" i="52"/>
  <c r="C34" i="52"/>
  <c r="C33" i="52"/>
  <c r="C35" i="52"/>
  <c r="H40" i="52"/>
  <c r="O30" i="52"/>
  <c r="H30" i="52"/>
  <c r="C15" i="52"/>
  <c r="C22" i="52"/>
  <c r="C25" i="52"/>
  <c r="C28" i="52"/>
  <c r="C71" i="52"/>
  <c r="C76" i="52"/>
  <c r="C86" i="52"/>
  <c r="C88" i="52"/>
  <c r="C108" i="52"/>
  <c r="C109" i="52"/>
  <c r="C120" i="52"/>
  <c r="C130" i="52"/>
  <c r="C131" i="52"/>
  <c r="C134" i="52"/>
  <c r="C143" i="52"/>
  <c r="C144" i="52"/>
  <c r="C145" i="52"/>
  <c r="C151" i="52"/>
  <c r="C152" i="52"/>
  <c r="C153" i="52"/>
  <c r="J113" i="52"/>
  <c r="Q71" i="52"/>
  <c r="Q139" i="52"/>
  <c r="Q142" i="52"/>
  <c r="Q143" i="52"/>
  <c r="Q144" i="52"/>
  <c r="Q145" i="52"/>
  <c r="Q148" i="52"/>
  <c r="Q150" i="52"/>
  <c r="C148" i="52"/>
  <c r="E16" i="31"/>
  <c r="H16" i="31" s="1"/>
  <c r="E17" i="31"/>
  <c r="H17" i="31" s="1"/>
  <c r="F21" i="29"/>
  <c r="E50" i="9" s="1"/>
  <c r="H50" i="9" s="1"/>
  <c r="F26" i="29"/>
  <c r="E22" i="31"/>
  <c r="H22" i="31" s="1"/>
  <c r="H23" i="31"/>
  <c r="H24" i="31"/>
  <c r="E31" i="31"/>
  <c r="H31" i="31" s="1"/>
  <c r="E32" i="31"/>
  <c r="H32" i="31" s="1"/>
  <c r="E34" i="31"/>
  <c r="H34" i="31" s="1"/>
  <c r="F20" i="29"/>
  <c r="E55" i="31" s="1"/>
  <c r="H55" i="31" s="1"/>
  <c r="F24" i="29"/>
  <c r="H37" i="31"/>
  <c r="E66" i="31"/>
  <c r="H66" i="31" s="1"/>
  <c r="E67" i="31"/>
  <c r="H67" i="31" s="1"/>
  <c r="F22" i="29"/>
  <c r="H22" i="42" s="1"/>
  <c r="E19" i="31"/>
  <c r="H19" i="31" s="1"/>
  <c r="E25" i="31"/>
  <c r="H25" i="31" s="1"/>
  <c r="E26" i="31"/>
  <c r="H26" i="31" s="1"/>
  <c r="E43" i="31"/>
  <c r="H43" i="31" s="1"/>
  <c r="E44" i="31"/>
  <c r="H44" i="31" s="1"/>
  <c r="E45" i="31"/>
  <c r="H45" i="31" s="1"/>
  <c r="J10" i="31"/>
  <c r="I9" i="3" s="1"/>
  <c r="K10" i="31"/>
  <c r="J9" i="3" s="1"/>
  <c r="L10" i="31"/>
  <c r="K9" i="3" s="1"/>
  <c r="M10" i="31"/>
  <c r="L9" i="3" s="1"/>
  <c r="N10" i="31"/>
  <c r="M9" i="3" s="1"/>
  <c r="O10" i="31"/>
  <c r="N9" i="3" s="1"/>
  <c r="P10" i="31"/>
  <c r="O9" i="3" s="1"/>
  <c r="E51" i="31"/>
  <c r="H51" i="31" s="1"/>
  <c r="E52" i="31"/>
  <c r="H52" i="31" s="1"/>
  <c r="E53" i="31"/>
  <c r="H53" i="31" s="1"/>
  <c r="E54" i="31"/>
  <c r="H54" i="31" s="1"/>
  <c r="E57" i="31"/>
  <c r="H57" i="31" s="1"/>
  <c r="E58" i="31"/>
  <c r="H58" i="31" s="1"/>
  <c r="J11" i="31"/>
  <c r="I10" i="3" s="1"/>
  <c r="K11" i="31"/>
  <c r="J10" i="3" s="1"/>
  <c r="L11" i="31"/>
  <c r="K10" i="3" s="1"/>
  <c r="M11" i="31"/>
  <c r="L10" i="3" s="1"/>
  <c r="N11" i="31"/>
  <c r="M10" i="3" s="1"/>
  <c r="O11" i="31"/>
  <c r="N10" i="3" s="1"/>
  <c r="P11" i="31"/>
  <c r="O10" i="3" s="1"/>
  <c r="H12" i="31"/>
  <c r="G11" i="3" s="1"/>
  <c r="I12" i="31"/>
  <c r="H11" i="3" s="1"/>
  <c r="J12" i="31"/>
  <c r="I11" i="3" s="1"/>
  <c r="K12" i="31"/>
  <c r="J11" i="3" s="1"/>
  <c r="L12" i="31"/>
  <c r="K11" i="3" s="1"/>
  <c r="M12" i="31"/>
  <c r="L11" i="3" s="1"/>
  <c r="N12" i="31"/>
  <c r="M11" i="3" s="1"/>
  <c r="O12" i="31"/>
  <c r="N11" i="3" s="1"/>
  <c r="P12" i="31"/>
  <c r="O11" i="3" s="1"/>
  <c r="Q8" i="52"/>
  <c r="Q10" i="31"/>
  <c r="P9" i="3" s="1"/>
  <c r="R10" i="31"/>
  <c r="Q9" i="3" s="1"/>
  <c r="S10" i="31"/>
  <c r="R9" i="3" s="1"/>
  <c r="T10" i="31"/>
  <c r="S9" i="3" s="1"/>
  <c r="U10" i="31"/>
  <c r="T9" i="3" s="1"/>
  <c r="V10" i="31"/>
  <c r="U9" i="3" s="1"/>
  <c r="Q11" i="31"/>
  <c r="P10" i="3" s="1"/>
  <c r="R11" i="31"/>
  <c r="Q10" i="3" s="1"/>
  <c r="S11" i="31"/>
  <c r="R10" i="3" s="1"/>
  <c r="T11" i="31"/>
  <c r="S10" i="3" s="1"/>
  <c r="U11" i="31"/>
  <c r="T10" i="3" s="1"/>
  <c r="V11" i="31"/>
  <c r="U10" i="3" s="1"/>
  <c r="Q12" i="31"/>
  <c r="P11" i="3" s="1"/>
  <c r="R12" i="31"/>
  <c r="Q11" i="3" s="1"/>
  <c r="S12" i="31"/>
  <c r="R11" i="3" s="1"/>
  <c r="Q14" i="52"/>
  <c r="E13" i="33"/>
  <c r="G13" i="33" s="1"/>
  <c r="E17" i="33"/>
  <c r="G17" i="33" s="1"/>
  <c r="E18" i="33"/>
  <c r="G18" i="33" s="1"/>
  <c r="E19" i="33"/>
  <c r="G19" i="33" s="1"/>
  <c r="E28" i="33"/>
  <c r="H28" i="33" s="1"/>
  <c r="H29" i="33"/>
  <c r="E31" i="33"/>
  <c r="H31" i="33" s="1"/>
  <c r="H32" i="33" s="1"/>
  <c r="E36" i="33"/>
  <c r="H36" i="33" s="1"/>
  <c r="E37" i="33"/>
  <c r="H37" i="33" s="1"/>
  <c r="G10" i="33"/>
  <c r="F19" i="3" s="1"/>
  <c r="H10" i="33"/>
  <c r="G19" i="3" s="1"/>
  <c r="I10" i="33"/>
  <c r="H19" i="3" s="1"/>
  <c r="J10" i="33"/>
  <c r="I19" i="3" s="1"/>
  <c r="K10" i="33"/>
  <c r="J19" i="3" s="1"/>
  <c r="L10" i="33"/>
  <c r="K19" i="3" s="1"/>
  <c r="M10" i="33"/>
  <c r="L19" i="3" s="1"/>
  <c r="N10" i="33"/>
  <c r="M19" i="3" s="1"/>
  <c r="O10" i="33"/>
  <c r="N19" i="3" s="1"/>
  <c r="P10" i="33"/>
  <c r="O19" i="3" s="1"/>
  <c r="Q10" i="33"/>
  <c r="P19" i="3" s="1"/>
  <c r="R10" i="33"/>
  <c r="Q19" i="3" s="1"/>
  <c r="S10" i="33"/>
  <c r="R19" i="3" s="1"/>
  <c r="T10" i="33"/>
  <c r="S19" i="3" s="1"/>
  <c r="U10" i="33"/>
  <c r="T19" i="3" s="1"/>
  <c r="V10" i="33"/>
  <c r="U19" i="3" s="1"/>
  <c r="F15" i="34"/>
  <c r="H15" i="34" s="1"/>
  <c r="F16" i="34"/>
  <c r="H16" i="34" s="1"/>
  <c r="F22" i="34"/>
  <c r="I22" i="34" s="1"/>
  <c r="F23" i="34"/>
  <c r="I23" i="34" s="1"/>
  <c r="F24" i="34"/>
  <c r="I24" i="34" s="1"/>
  <c r="I25" i="34"/>
  <c r="I27" i="34"/>
  <c r="K9" i="34"/>
  <c r="J22" i="3" s="1"/>
  <c r="L9" i="34"/>
  <c r="K22" i="3" s="1"/>
  <c r="M9" i="34"/>
  <c r="L22" i="3" s="1"/>
  <c r="N9" i="34"/>
  <c r="M22" i="3" s="1"/>
  <c r="O9" i="34"/>
  <c r="N22" i="3" s="1"/>
  <c r="P9" i="34"/>
  <c r="O22" i="3" s="1"/>
  <c r="F32" i="34"/>
  <c r="I32" i="34" s="1"/>
  <c r="F33" i="34"/>
  <c r="I33" i="34" s="1"/>
  <c r="F34" i="34"/>
  <c r="I34" i="34" s="1"/>
  <c r="I35" i="34"/>
  <c r="I37" i="34"/>
  <c r="F43" i="34"/>
  <c r="H43" i="34" s="1"/>
  <c r="F44" i="34"/>
  <c r="H44" i="34" s="1"/>
  <c r="F45" i="34"/>
  <c r="H45" i="34" s="1"/>
  <c r="F47" i="34"/>
  <c r="H47" i="34" s="1"/>
  <c r="F48" i="34"/>
  <c r="H48" i="34" s="1"/>
  <c r="F53" i="34"/>
  <c r="H53" i="34" s="1"/>
  <c r="F54" i="34"/>
  <c r="H54" i="34" s="1"/>
  <c r="F55" i="34"/>
  <c r="H55" i="34" s="1"/>
  <c r="M12" i="34"/>
  <c r="L25" i="3" s="1"/>
  <c r="N12" i="34"/>
  <c r="M25" i="3" s="1"/>
  <c r="O12" i="34"/>
  <c r="N25" i="3" s="1"/>
  <c r="P12" i="34"/>
  <c r="O25" i="3" s="1"/>
  <c r="Q9" i="34"/>
  <c r="P22" i="3" s="1"/>
  <c r="R9" i="34"/>
  <c r="Q22" i="3" s="1"/>
  <c r="S9" i="34"/>
  <c r="R22" i="3" s="1"/>
  <c r="T9" i="34"/>
  <c r="S22" i="3" s="1"/>
  <c r="U9" i="34"/>
  <c r="T22" i="3" s="1"/>
  <c r="V9" i="34"/>
  <c r="U22" i="3" s="1"/>
  <c r="Q12" i="34"/>
  <c r="P25" i="3" s="1"/>
  <c r="R12" i="34"/>
  <c r="Q25" i="3" s="1"/>
  <c r="S12" i="34"/>
  <c r="R25" i="3" s="1"/>
  <c r="T12" i="34"/>
  <c r="S25" i="3" s="1"/>
  <c r="U12" i="34"/>
  <c r="T25" i="3" s="1"/>
  <c r="V12" i="34"/>
  <c r="U25" i="3" s="1"/>
  <c r="E12" i="35"/>
  <c r="G12" i="35" s="1"/>
  <c r="G15" i="35" s="1"/>
  <c r="E19" i="35"/>
  <c r="G19" i="35" s="1"/>
  <c r="E20" i="35"/>
  <c r="G20" i="35" s="1"/>
  <c r="E19" i="8"/>
  <c r="H19" i="8" s="1"/>
  <c r="H20" i="8"/>
  <c r="E26" i="8"/>
  <c r="H26" i="8" s="1"/>
  <c r="H59" i="8"/>
  <c r="G64" i="8"/>
  <c r="F14" i="8" s="1"/>
  <c r="H71" i="8"/>
  <c r="G77" i="8"/>
  <c r="G42" i="9"/>
  <c r="G43" i="9" s="1"/>
  <c r="I11" i="9" s="1"/>
  <c r="E48" i="9"/>
  <c r="H48" i="9" s="1"/>
  <c r="E49" i="9"/>
  <c r="H49" i="9" s="1"/>
  <c r="E55" i="9"/>
  <c r="G55" i="9" s="1"/>
  <c r="G56" i="9"/>
  <c r="E15" i="10"/>
  <c r="H15" i="10" s="1"/>
  <c r="E16" i="10"/>
  <c r="H16" i="10" s="1"/>
  <c r="E17" i="10"/>
  <c r="H17" i="10" s="1"/>
  <c r="E18" i="10"/>
  <c r="H18" i="10" s="1"/>
  <c r="H19" i="10"/>
  <c r="E20" i="10"/>
  <c r="H20" i="10" s="1"/>
  <c r="F25" i="29"/>
  <c r="E26" i="10"/>
  <c r="H26" i="10" s="1"/>
  <c r="E27" i="10"/>
  <c r="H27" i="10" s="1"/>
  <c r="E28" i="10"/>
  <c r="H28" i="10" s="1"/>
  <c r="E29" i="10"/>
  <c r="H29" i="10" s="1"/>
  <c r="H30" i="10"/>
  <c r="E31" i="10"/>
  <c r="H31" i="10" s="1"/>
  <c r="H33" i="10"/>
  <c r="E38" i="10"/>
  <c r="H38" i="10" s="1"/>
  <c r="E39" i="10"/>
  <c r="H39" i="10" s="1"/>
  <c r="G46" i="10"/>
  <c r="G47" i="10" s="1"/>
  <c r="H29" i="8"/>
  <c r="T9" i="8" s="1"/>
  <c r="S32" i="3" s="1"/>
  <c r="H43" i="8"/>
  <c r="H35" i="8"/>
  <c r="E44" i="8"/>
  <c r="H44" i="8" s="1"/>
  <c r="G53" i="8"/>
  <c r="G54" i="8" s="1"/>
  <c r="H14" i="8"/>
  <c r="G37" i="3" s="1"/>
  <c r="G65" i="8"/>
  <c r="I14" i="8" s="1"/>
  <c r="H37" i="3" s="1"/>
  <c r="E20" i="9"/>
  <c r="H20" i="9" s="1"/>
  <c r="H31" i="9"/>
  <c r="G37" i="9"/>
  <c r="G38" i="9" s="1"/>
  <c r="I10" i="9" s="1"/>
  <c r="G57" i="9"/>
  <c r="H13" i="9" s="1"/>
  <c r="G46" i="3" s="1"/>
  <c r="G62" i="9"/>
  <c r="G63" i="9"/>
  <c r="G51" i="10"/>
  <c r="G52" i="10" s="1"/>
  <c r="E16" i="11"/>
  <c r="H16" i="11" s="1"/>
  <c r="H19" i="11" s="1"/>
  <c r="E23" i="11"/>
  <c r="H23" i="11" s="1"/>
  <c r="H24" i="11"/>
  <c r="E29" i="11"/>
  <c r="H29" i="11" s="1"/>
  <c r="H30" i="11"/>
  <c r="H31" i="11"/>
  <c r="E44" i="11"/>
  <c r="H44" i="11" s="1"/>
  <c r="H47" i="11" s="1"/>
  <c r="E12" i="11" s="1"/>
  <c r="D65" i="3" s="1"/>
  <c r="H46" i="11"/>
  <c r="E14" i="12"/>
  <c r="G14" i="12" s="1"/>
  <c r="E15" i="12"/>
  <c r="G15" i="12" s="1"/>
  <c r="G17" i="12"/>
  <c r="E23" i="12"/>
  <c r="H23" i="12" s="1"/>
  <c r="E24" i="12"/>
  <c r="H24" i="12" s="1"/>
  <c r="E37" i="12"/>
  <c r="H37" i="12" s="1"/>
  <c r="H39" i="12" s="1"/>
  <c r="E19" i="13"/>
  <c r="H19" i="13" s="1"/>
  <c r="E20" i="13"/>
  <c r="H20" i="13" s="1"/>
  <c r="E21" i="13"/>
  <c r="H21" i="13" s="1"/>
  <c r="E26" i="13"/>
  <c r="H26" i="13" s="1"/>
  <c r="H27" i="13" s="1"/>
  <c r="E31" i="13"/>
  <c r="H32" i="13"/>
  <c r="E19" i="42"/>
  <c r="H19" i="42" s="1"/>
  <c r="H20" i="42"/>
  <c r="E21" i="42"/>
  <c r="H21" i="42" s="1"/>
  <c r="H23" i="42"/>
  <c r="H27" i="42"/>
  <c r="H8" i="42" s="1"/>
  <c r="G81" i="3" s="1"/>
  <c r="E61" i="42"/>
  <c r="H61" i="42" s="1"/>
  <c r="E62" i="42"/>
  <c r="H62" i="42" s="1"/>
  <c r="E88" i="42"/>
  <c r="H88" i="42" s="1"/>
  <c r="E89" i="42"/>
  <c r="H89" i="42" s="1"/>
  <c r="E32" i="42"/>
  <c r="H32" i="42" s="1"/>
  <c r="E33" i="42"/>
  <c r="H33" i="42" s="1"/>
  <c r="E42" i="42"/>
  <c r="H42" i="42" s="1"/>
  <c r="E43" i="42"/>
  <c r="H43" i="42" s="1"/>
  <c r="E49" i="42"/>
  <c r="H49" i="42" s="1"/>
  <c r="E50" i="42"/>
  <c r="H50" i="42" s="1"/>
  <c r="E55" i="42"/>
  <c r="H55" i="42" s="1"/>
  <c r="E56" i="42"/>
  <c r="H56" i="42" s="1"/>
  <c r="I12" i="42"/>
  <c r="H85" i="3" s="1"/>
  <c r="L12" i="42"/>
  <c r="K85" i="3" s="1"/>
  <c r="K80" i="3" s="1"/>
  <c r="P12" i="42"/>
  <c r="O85" i="3" s="1"/>
  <c r="I13" i="42"/>
  <c r="H86" i="3" s="1"/>
  <c r="J13" i="42"/>
  <c r="I86" i="3" s="1"/>
  <c r="K13" i="42"/>
  <c r="J86" i="3" s="1"/>
  <c r="L13" i="42"/>
  <c r="K86" i="3" s="1"/>
  <c r="M13" i="42"/>
  <c r="L86" i="3" s="1"/>
  <c r="N13" i="42"/>
  <c r="M86" i="3" s="1"/>
  <c r="O13" i="42"/>
  <c r="N86" i="3" s="1"/>
  <c r="P13" i="42"/>
  <c r="O86" i="3" s="1"/>
  <c r="E67" i="42"/>
  <c r="E68" i="42"/>
  <c r="H68" i="42" s="1"/>
  <c r="E81" i="42"/>
  <c r="H81" i="42" s="1"/>
  <c r="E82" i="42"/>
  <c r="H82" i="42" s="1"/>
  <c r="I16" i="42"/>
  <c r="H89" i="3" s="1"/>
  <c r="J16" i="42"/>
  <c r="I89" i="3" s="1"/>
  <c r="K16" i="42"/>
  <c r="J89" i="3" s="1"/>
  <c r="L16" i="42"/>
  <c r="K89" i="3" s="1"/>
  <c r="M16" i="42"/>
  <c r="L89" i="3" s="1"/>
  <c r="N16" i="42"/>
  <c r="M89" i="3" s="1"/>
  <c r="O16" i="42"/>
  <c r="N89" i="3" s="1"/>
  <c r="P16" i="42"/>
  <c r="O89" i="3" s="1"/>
  <c r="E14" i="43"/>
  <c r="H14" i="43" s="1"/>
  <c r="H17" i="43"/>
  <c r="E22" i="43"/>
  <c r="H22" i="43" s="1"/>
  <c r="E27" i="43"/>
  <c r="H27" i="43" s="1"/>
  <c r="E28" i="43"/>
  <c r="H28" i="43" s="1"/>
  <c r="E37" i="43"/>
  <c r="H37" i="43" s="1"/>
  <c r="T12" i="42"/>
  <c r="Q13" i="42"/>
  <c r="P86" i="3" s="1"/>
  <c r="R13" i="42"/>
  <c r="Q86" i="3" s="1"/>
  <c r="S13" i="42"/>
  <c r="R86" i="3" s="1"/>
  <c r="T13" i="42"/>
  <c r="S86" i="3" s="1"/>
  <c r="U13" i="42"/>
  <c r="T86" i="3" s="1"/>
  <c r="T80" i="3" s="1"/>
  <c r="V13" i="42"/>
  <c r="U86" i="3" s="1"/>
  <c r="U80" i="3" s="1"/>
  <c r="Q16" i="42"/>
  <c r="P89" i="3" s="1"/>
  <c r="R16" i="42"/>
  <c r="Q89" i="3" s="1"/>
  <c r="S16" i="42"/>
  <c r="R89" i="3" s="1"/>
  <c r="T16" i="42"/>
  <c r="S89" i="3" s="1"/>
  <c r="U16" i="42"/>
  <c r="T89" i="3" s="1"/>
  <c r="V16" i="42"/>
  <c r="U89" i="3" s="1"/>
  <c r="E13" i="36"/>
  <c r="H13" i="36" s="1"/>
  <c r="E14" i="36"/>
  <c r="H14" i="36" s="1"/>
  <c r="H15" i="36"/>
  <c r="H16" i="36"/>
  <c r="E17" i="36"/>
  <c r="H17" i="36" s="1"/>
  <c r="E24" i="36"/>
  <c r="H24" i="36" s="1"/>
  <c r="E25" i="36"/>
  <c r="H25" i="36" s="1"/>
  <c r="H26" i="36"/>
  <c r="H27" i="36"/>
  <c r="E28" i="36"/>
  <c r="H28" i="36" s="1"/>
  <c r="H30" i="36"/>
  <c r="E35" i="36"/>
  <c r="H35" i="36" s="1"/>
  <c r="H36" i="36"/>
  <c r="H37" i="36"/>
  <c r="E38" i="36"/>
  <c r="H38" i="36" s="1"/>
  <c r="H40" i="36"/>
  <c r="J10" i="36" s="1"/>
  <c r="I99" i="3" s="1"/>
  <c r="H8" i="36"/>
  <c r="G97" i="3" s="1"/>
  <c r="I8" i="36"/>
  <c r="H97" i="3" s="1"/>
  <c r="J8" i="36"/>
  <c r="I97" i="3" s="1"/>
  <c r="K8" i="36"/>
  <c r="J97" i="3" s="1"/>
  <c r="L8" i="36"/>
  <c r="K97" i="3" s="1"/>
  <c r="M8" i="36"/>
  <c r="L97" i="3" s="1"/>
  <c r="N8" i="36"/>
  <c r="M97" i="3" s="1"/>
  <c r="O8" i="36"/>
  <c r="N97" i="3" s="1"/>
  <c r="P8" i="36"/>
  <c r="O97" i="3" s="1"/>
  <c r="E12" i="37"/>
  <c r="G12" i="37" s="1"/>
  <c r="G13" i="37"/>
  <c r="G14" i="37"/>
  <c r="E15" i="37"/>
  <c r="G15" i="37" s="1"/>
  <c r="G17" i="37"/>
  <c r="E22" i="37"/>
  <c r="G23" i="37"/>
  <c r="G24" i="37"/>
  <c r="E25" i="37"/>
  <c r="G25" i="37" s="1"/>
  <c r="G31" i="37"/>
  <c r="G32" i="37"/>
  <c r="Q8" i="36"/>
  <c r="P97" i="3" s="1"/>
  <c r="T8" i="37"/>
  <c r="S101" i="3" s="1"/>
  <c r="H15" i="38"/>
  <c r="H18" i="38"/>
  <c r="E19" i="38"/>
  <c r="H19" i="38" s="1"/>
  <c r="E51" i="38"/>
  <c r="H51" i="38" s="1"/>
  <c r="E27" i="38"/>
  <c r="H27" i="38" s="1"/>
  <c r="E28" i="38"/>
  <c r="H28" i="38" s="1"/>
  <c r="E34" i="38"/>
  <c r="H34" i="38" s="1"/>
  <c r="E35" i="38"/>
  <c r="H35" i="38" s="1"/>
  <c r="E15" i="39"/>
  <c r="H15" i="39" s="1"/>
  <c r="H18" i="39"/>
  <c r="E19" i="39"/>
  <c r="H19" i="39" s="1"/>
  <c r="E20" i="39"/>
  <c r="H20" i="39" s="1"/>
  <c r="H28" i="39"/>
  <c r="H29" i="39"/>
  <c r="E30" i="39"/>
  <c r="H30" i="39" s="1"/>
  <c r="E31" i="39"/>
  <c r="H31" i="39" s="1"/>
  <c r="E15" i="20"/>
  <c r="H15" i="20" s="1"/>
  <c r="E16" i="20"/>
  <c r="H16" i="20" s="1"/>
  <c r="E17" i="20"/>
  <c r="H17" i="20" s="1"/>
  <c r="H18" i="20"/>
  <c r="H19" i="20"/>
  <c r="E26" i="20"/>
  <c r="H26" i="20" s="1"/>
  <c r="E27" i="20"/>
  <c r="H27" i="20" s="1"/>
  <c r="E28" i="20"/>
  <c r="H28" i="20" s="1"/>
  <c r="E33" i="20"/>
  <c r="H33" i="20" s="1"/>
  <c r="E34" i="20"/>
  <c r="H34" i="20" s="1"/>
  <c r="E35" i="20"/>
  <c r="H35" i="20" s="1"/>
  <c r="H37" i="20"/>
  <c r="E42" i="20"/>
  <c r="H42" i="20" s="1"/>
  <c r="E43" i="20"/>
  <c r="H43" i="20" s="1"/>
  <c r="E44" i="20"/>
  <c r="H44" i="20" s="1"/>
  <c r="G53" i="20"/>
  <c r="G54" i="20" s="1"/>
  <c r="E15" i="21"/>
  <c r="H15" i="21" s="1"/>
  <c r="E16" i="21"/>
  <c r="H16" i="21" s="1"/>
  <c r="H17" i="21"/>
  <c r="F8" i="21" s="1"/>
  <c r="E124" i="3" s="1"/>
  <c r="G22" i="21"/>
  <c r="G23" i="21"/>
  <c r="G28" i="21"/>
  <c r="G29" i="21"/>
  <c r="E34" i="21"/>
  <c r="H34" i="21" s="1"/>
  <c r="E35" i="21"/>
  <c r="H35" i="21" s="1"/>
  <c r="H36" i="21"/>
  <c r="H38" i="21"/>
  <c r="H39" i="21"/>
  <c r="M11" i="21" s="1"/>
  <c r="L127" i="3" s="1"/>
  <c r="G45" i="21"/>
  <c r="E17" i="40"/>
  <c r="H17" i="40" s="1"/>
  <c r="H19" i="40" s="1"/>
  <c r="E24" i="40"/>
  <c r="G24" i="40" s="1"/>
  <c r="E25" i="40"/>
  <c r="G25" i="40" s="1"/>
  <c r="E30" i="40"/>
  <c r="H30" i="40" s="1"/>
  <c r="H32" i="40"/>
  <c r="H33" i="40"/>
  <c r="H34" i="40"/>
  <c r="H13" i="41"/>
  <c r="E14" i="41"/>
  <c r="H14" i="41" s="1"/>
  <c r="E10" i="41"/>
  <c r="D141" i="3" s="1"/>
  <c r="E39" i="40"/>
  <c r="H39" i="40" s="1"/>
  <c r="E40" i="40"/>
  <c r="H40" i="40" s="1"/>
  <c r="E47" i="40"/>
  <c r="G47" i="40" s="1"/>
  <c r="E48" i="40"/>
  <c r="G48" i="40" s="1"/>
  <c r="E49" i="40"/>
  <c r="G49" i="40" s="1"/>
  <c r="E57" i="40"/>
  <c r="G57" i="40" s="1"/>
  <c r="E58" i="40"/>
  <c r="G58" i="40" s="1"/>
  <c r="E59" i="40"/>
  <c r="G59" i="40" s="1"/>
  <c r="E61" i="40"/>
  <c r="G61" i="40" s="1"/>
  <c r="G62" i="40"/>
  <c r="G72" i="40"/>
  <c r="E14" i="27"/>
  <c r="E15" i="27"/>
  <c r="H15" i="27" s="1"/>
  <c r="E16" i="27"/>
  <c r="H16" i="27" s="1"/>
  <c r="E13" i="24"/>
  <c r="G13" i="24" s="1"/>
  <c r="G15" i="24"/>
  <c r="O8" i="24" s="1"/>
  <c r="N144" i="3" s="1"/>
  <c r="E21" i="24"/>
  <c r="G21" i="24" s="1"/>
  <c r="F23" i="29"/>
  <c r="G27" i="24"/>
  <c r="G28" i="24" s="1"/>
  <c r="G29" i="24"/>
  <c r="E14" i="25"/>
  <c r="H14" i="25" s="1"/>
  <c r="H15" i="25"/>
  <c r="E16" i="25"/>
  <c r="H16" i="25" s="1"/>
  <c r="H19" i="25"/>
  <c r="E22" i="25"/>
  <c r="H22" i="25" s="1"/>
  <c r="E23" i="25"/>
  <c r="H23" i="25" s="1"/>
  <c r="H25" i="25"/>
  <c r="E30" i="25"/>
  <c r="H30" i="25" s="1"/>
  <c r="H33" i="25" s="1"/>
  <c r="H32" i="25"/>
  <c r="E37" i="25"/>
  <c r="H37" i="25" s="1"/>
  <c r="H38" i="25"/>
  <c r="E12" i="26"/>
  <c r="H12" i="26" s="1"/>
  <c r="H13" i="26"/>
  <c r="E14" i="26"/>
  <c r="H14" i="26" s="1"/>
  <c r="E15" i="26"/>
  <c r="H15" i="26" s="1"/>
  <c r="H16" i="26"/>
  <c r="N8" i="26" s="1"/>
  <c r="M153" i="3" s="1"/>
  <c r="M152" i="3" s="1"/>
  <c r="E21" i="26"/>
  <c r="H21" i="26" s="1"/>
  <c r="E22" i="26"/>
  <c r="H22" i="26" s="1"/>
  <c r="E21" i="27"/>
  <c r="H21" i="27" s="1"/>
  <c r="E28" i="27"/>
  <c r="H28" i="27" s="1"/>
  <c r="E29" i="27"/>
  <c r="H29" i="27" s="1"/>
  <c r="E30" i="27"/>
  <c r="H30" i="27" s="1"/>
  <c r="E31" i="27"/>
  <c r="H31" i="27" s="1"/>
  <c r="H32" i="27"/>
  <c r="E37" i="27"/>
  <c r="H37" i="27" s="1"/>
  <c r="H38" i="27"/>
  <c r="B9" i="24"/>
  <c r="B10" i="24"/>
  <c r="B8" i="24"/>
  <c r="B5" i="24"/>
  <c r="B4" i="24"/>
  <c r="B9" i="41"/>
  <c r="B10" i="41"/>
  <c r="B8" i="41"/>
  <c r="E70" i="40"/>
  <c r="E69" i="40"/>
  <c r="E68" i="40"/>
  <c r="E67" i="40"/>
  <c r="B5" i="41"/>
  <c r="B4" i="41"/>
  <c r="B9" i="40"/>
  <c r="B10" i="40"/>
  <c r="B11" i="40"/>
  <c r="B12" i="40"/>
  <c r="B13" i="40"/>
  <c r="B14" i="40"/>
  <c r="B8" i="40"/>
  <c r="B5" i="40"/>
  <c r="B4" i="40"/>
  <c r="B9" i="20"/>
  <c r="B10" i="20"/>
  <c r="B11" i="20"/>
  <c r="B12" i="20"/>
  <c r="B8" i="20"/>
  <c r="B5" i="20"/>
  <c r="B4" i="20"/>
  <c r="B9" i="39"/>
  <c r="B10" i="39"/>
  <c r="B11" i="39"/>
  <c r="B12" i="39"/>
  <c r="B8" i="39"/>
  <c r="B5" i="39"/>
  <c r="B4" i="39"/>
  <c r="B9" i="38"/>
  <c r="B10" i="38"/>
  <c r="B11" i="38"/>
  <c r="B12" i="38"/>
  <c r="B8" i="38"/>
  <c r="B5" i="38"/>
  <c r="B4" i="38"/>
  <c r="B9" i="37"/>
  <c r="B5" i="37"/>
  <c r="B4" i="37"/>
  <c r="B9" i="36"/>
  <c r="B8" i="36"/>
  <c r="B5" i="36"/>
  <c r="B4" i="36"/>
  <c r="B9" i="43"/>
  <c r="B10" i="43"/>
  <c r="B11" i="43"/>
  <c r="B8" i="43"/>
  <c r="B5" i="43"/>
  <c r="B4" i="43"/>
  <c r="B5" i="42"/>
  <c r="B4" i="42"/>
  <c r="B5" i="13"/>
  <c r="B4" i="13"/>
  <c r="B5" i="11"/>
  <c r="B4" i="11"/>
  <c r="B5" i="12"/>
  <c r="B4" i="12"/>
  <c r="B5" i="10"/>
  <c r="B4" i="10"/>
  <c r="B5" i="9"/>
  <c r="B4" i="9"/>
  <c r="B5" i="8"/>
  <c r="B4" i="8"/>
  <c r="B5" i="35"/>
  <c r="B4" i="35"/>
  <c r="B5" i="34"/>
  <c r="B4" i="34"/>
  <c r="B5" i="33"/>
  <c r="B4" i="33"/>
  <c r="B9" i="42"/>
  <c r="B10" i="42"/>
  <c r="B11" i="42"/>
  <c r="B12" i="42"/>
  <c r="B13" i="42"/>
  <c r="B14" i="42"/>
  <c r="B15" i="42"/>
  <c r="B16" i="42"/>
  <c r="B8" i="42"/>
  <c r="B8" i="8"/>
  <c r="B8" i="35"/>
  <c r="B9" i="34"/>
  <c r="B10" i="34"/>
  <c r="B11" i="34"/>
  <c r="B12" i="34"/>
  <c r="B8" i="34"/>
  <c r="B9" i="33"/>
  <c r="B10" i="33"/>
  <c r="B8" i="33"/>
  <c r="E14" i="32"/>
  <c r="H14" i="32" s="1"/>
  <c r="H22" i="32" s="1"/>
  <c r="E27" i="32"/>
  <c r="H27" i="32" s="1"/>
  <c r="H28" i="32"/>
  <c r="H29" i="32"/>
  <c r="E30" i="32"/>
  <c r="H30" i="32" s="1"/>
  <c r="E31" i="32"/>
  <c r="H31" i="32" s="1"/>
  <c r="H32" i="32"/>
  <c r="E39" i="32"/>
  <c r="H39" i="32" s="1"/>
  <c r="H40" i="32"/>
  <c r="B10" i="32"/>
  <c r="B9" i="32"/>
  <c r="B8" i="32"/>
  <c r="B5" i="32"/>
  <c r="B4" i="32"/>
  <c r="B10" i="31"/>
  <c r="B11" i="31"/>
  <c r="B9" i="31"/>
  <c r="B12" i="31"/>
  <c r="B4" i="31"/>
  <c r="B5" i="31"/>
  <c r="B8" i="31"/>
  <c r="E28" i="9"/>
  <c r="H28" i="9" s="1"/>
  <c r="H30" i="9"/>
  <c r="B10" i="36"/>
  <c r="G66" i="8"/>
  <c r="E36" i="8"/>
  <c r="H36" i="8" s="1"/>
  <c r="S12" i="2"/>
  <c r="R12" i="2"/>
  <c r="Q12" i="2"/>
  <c r="P12" i="2"/>
  <c r="B8" i="26"/>
  <c r="E74" i="2"/>
  <c r="G74" i="2" s="1"/>
  <c r="I10" i="2"/>
  <c r="J10" i="2"/>
  <c r="K10" i="2"/>
  <c r="L10" i="2"/>
  <c r="M10" i="2"/>
  <c r="N10" i="2"/>
  <c r="O10" i="2"/>
  <c r="P10" i="2"/>
  <c r="Q10" i="2"/>
  <c r="R10" i="2"/>
  <c r="S10" i="2"/>
  <c r="T10" i="2"/>
  <c r="U10" i="2"/>
  <c r="V10" i="2"/>
  <c r="H10" i="2"/>
  <c r="E51" i="2"/>
  <c r="G51" i="2" s="1"/>
  <c r="E52" i="2"/>
  <c r="G52" i="2" s="1"/>
  <c r="E53" i="2"/>
  <c r="G53" i="2"/>
  <c r="E56" i="2"/>
  <c r="G56" i="2" s="1"/>
  <c r="J9" i="2"/>
  <c r="K9" i="2"/>
  <c r="L9" i="2"/>
  <c r="M9" i="2"/>
  <c r="N9" i="2"/>
  <c r="O9" i="2"/>
  <c r="P9" i="2"/>
  <c r="Q9" i="2"/>
  <c r="R9" i="2"/>
  <c r="S9" i="2"/>
  <c r="T9" i="2"/>
  <c r="U9" i="2"/>
  <c r="V9" i="2"/>
  <c r="I9" i="2"/>
  <c r="H9" i="2"/>
  <c r="E37" i="2"/>
  <c r="G37" i="2" s="1"/>
  <c r="E38" i="2"/>
  <c r="G38" i="2" s="1"/>
  <c r="E39" i="2"/>
  <c r="G39" i="2" s="1"/>
  <c r="E42" i="2"/>
  <c r="G42" i="2" s="1"/>
  <c r="O12" i="2"/>
  <c r="N12" i="2"/>
  <c r="M12" i="2"/>
  <c r="L12" i="2"/>
  <c r="K12" i="2"/>
  <c r="J12" i="2"/>
  <c r="I12" i="2"/>
  <c r="H12" i="2"/>
  <c r="E82" i="2"/>
  <c r="G82" i="2" s="1"/>
  <c r="E83" i="2"/>
  <c r="G83" i="2" s="1"/>
  <c r="E84" i="2"/>
  <c r="G84" i="2" s="1"/>
  <c r="E85" i="2"/>
  <c r="G85" i="2" s="1"/>
  <c r="E86" i="2"/>
  <c r="G86" i="2" s="1"/>
  <c r="G87" i="2"/>
  <c r="E30" i="2"/>
  <c r="G30" i="2"/>
  <c r="G32" i="2" s="1"/>
  <c r="M8" i="2" s="1"/>
  <c r="G31" i="2"/>
  <c r="E25" i="2"/>
  <c r="G25" i="2" s="1"/>
  <c r="E26" i="2"/>
  <c r="G26" i="2" s="1"/>
  <c r="E17" i="2"/>
  <c r="G17" i="2" s="1"/>
  <c r="E18" i="2"/>
  <c r="G18" i="2" s="1"/>
  <c r="E21" i="2"/>
  <c r="G21" i="2" s="1"/>
  <c r="E70" i="2"/>
  <c r="G70" i="2" s="1"/>
  <c r="E69" i="2"/>
  <c r="G69" i="2" s="1"/>
  <c r="E68" i="2"/>
  <c r="G68" i="2" s="1"/>
  <c r="E67" i="2"/>
  <c r="G67" i="2" s="1"/>
  <c r="G88" i="2"/>
  <c r="G27" i="2"/>
  <c r="G28" i="2"/>
  <c r="G22" i="2"/>
  <c r="G23" i="2"/>
  <c r="E81" i="2"/>
  <c r="G81" i="2" s="1"/>
  <c r="E66" i="2"/>
  <c r="G66" i="2" s="1"/>
  <c r="E65" i="2"/>
  <c r="G65" i="2" s="1"/>
  <c r="E64" i="2"/>
  <c r="G64" i="2" s="1"/>
  <c r="E71" i="2"/>
  <c r="G71" i="2" s="1"/>
  <c r="G72" i="2"/>
  <c r="E41" i="2"/>
  <c r="G41" i="2" s="1"/>
  <c r="E50" i="2"/>
  <c r="G50" i="2" s="1"/>
  <c r="E57" i="2"/>
  <c r="G57" i="2" s="1"/>
  <c r="G58" i="2"/>
  <c r="E43" i="2"/>
  <c r="G43" i="2" s="1"/>
  <c r="E36" i="2"/>
  <c r="G36" i="2" s="1"/>
  <c r="E16" i="2"/>
  <c r="G16" i="2" s="1"/>
  <c r="G44" i="2"/>
  <c r="F19" i="29"/>
  <c r="B11" i="27"/>
  <c r="B10" i="27"/>
  <c r="B9" i="27"/>
  <c r="B8" i="27"/>
  <c r="B5" i="27"/>
  <c r="B4" i="27"/>
  <c r="B9" i="26"/>
  <c r="B5" i="26"/>
  <c r="B4" i="26"/>
  <c r="B11" i="25"/>
  <c r="B10" i="25"/>
  <c r="B9" i="25"/>
  <c r="B8" i="25"/>
  <c r="B5" i="25"/>
  <c r="B4" i="25"/>
  <c r="B10" i="23"/>
  <c r="B9" i="23"/>
  <c r="B8" i="23"/>
  <c r="B5" i="23"/>
  <c r="B4" i="23"/>
  <c r="B14" i="22"/>
  <c r="B13" i="22"/>
  <c r="B12" i="22"/>
  <c r="B11" i="22"/>
  <c r="B10" i="22"/>
  <c r="B9" i="22"/>
  <c r="B8" i="22"/>
  <c r="B5" i="22"/>
  <c r="B4" i="22"/>
  <c r="B12" i="21"/>
  <c r="B11" i="21"/>
  <c r="B10" i="21"/>
  <c r="B9" i="21"/>
  <c r="B8" i="21"/>
  <c r="B5" i="21"/>
  <c r="B4" i="21"/>
  <c r="B12" i="19"/>
  <c r="B11" i="19"/>
  <c r="B10" i="19"/>
  <c r="B9" i="19"/>
  <c r="B8" i="19"/>
  <c r="B5" i="19"/>
  <c r="B4" i="19"/>
  <c r="B12" i="18"/>
  <c r="B11" i="18"/>
  <c r="B10" i="18"/>
  <c r="B9" i="18"/>
  <c r="B8" i="18"/>
  <c r="B5" i="18"/>
  <c r="B4" i="18"/>
  <c r="B9" i="17"/>
  <c r="B8" i="17"/>
  <c r="B5" i="17"/>
  <c r="B4" i="17"/>
  <c r="B10" i="16"/>
  <c r="B9" i="16"/>
  <c r="B8" i="16"/>
  <c r="B5" i="16"/>
  <c r="B4" i="16"/>
  <c r="B11" i="15"/>
  <c r="B10" i="15"/>
  <c r="B9" i="15"/>
  <c r="B8" i="15"/>
  <c r="B5" i="15"/>
  <c r="B4" i="15"/>
  <c r="B16" i="14"/>
  <c r="B15" i="14"/>
  <c r="B14" i="14"/>
  <c r="B13" i="14"/>
  <c r="B12" i="14"/>
  <c r="B11" i="14"/>
  <c r="B10" i="14"/>
  <c r="B9" i="14"/>
  <c r="B8" i="14"/>
  <c r="B5" i="14"/>
  <c r="B4" i="14"/>
  <c r="B11" i="13"/>
  <c r="B10" i="13"/>
  <c r="B9" i="13"/>
  <c r="B10" i="12"/>
  <c r="B9" i="12"/>
  <c r="B8" i="12"/>
  <c r="B12" i="10"/>
  <c r="B10" i="10"/>
  <c r="B11" i="10"/>
  <c r="B9" i="10"/>
  <c r="B8" i="10"/>
  <c r="B14" i="9"/>
  <c r="B13" i="9"/>
  <c r="B12" i="9"/>
  <c r="B11" i="9"/>
  <c r="B10" i="9"/>
  <c r="B9" i="9"/>
  <c r="B8" i="9"/>
  <c r="B16" i="8"/>
  <c r="B15" i="8"/>
  <c r="B14" i="8"/>
  <c r="B13" i="8"/>
  <c r="B12" i="8"/>
  <c r="B11" i="8"/>
  <c r="B10" i="8"/>
  <c r="B9" i="8"/>
  <c r="B9" i="7"/>
  <c r="B8" i="7"/>
  <c r="B5" i="7"/>
  <c r="B4" i="7"/>
  <c r="B12" i="6"/>
  <c r="B11" i="6"/>
  <c r="B10" i="6"/>
  <c r="B9" i="6"/>
  <c r="B8" i="6"/>
  <c r="B5" i="6"/>
  <c r="B4" i="6"/>
  <c r="B10" i="5"/>
  <c r="B9" i="5"/>
  <c r="B8" i="5"/>
  <c r="B5" i="5"/>
  <c r="B4" i="5"/>
  <c r="B10" i="4"/>
  <c r="B9" i="4"/>
  <c r="B8" i="4"/>
  <c r="B5" i="4"/>
  <c r="B4" i="4"/>
  <c r="B12" i="2"/>
  <c r="B11" i="2"/>
  <c r="B10" i="2"/>
  <c r="B9" i="2"/>
  <c r="B8" i="2"/>
  <c r="B5" i="2"/>
  <c r="B4" i="2"/>
  <c r="E55" i="2"/>
  <c r="G55" i="2" s="1"/>
  <c r="H41" i="32" l="1"/>
  <c r="U8" i="24"/>
  <c r="T144" i="3" s="1"/>
  <c r="T143" i="3" s="1"/>
  <c r="E29" i="9"/>
  <c r="H29" i="9" s="1"/>
  <c r="E41" i="40"/>
  <c r="H41" i="40" s="1"/>
  <c r="E26" i="37"/>
  <c r="G26" i="37" s="1"/>
  <c r="G23" i="24"/>
  <c r="I9" i="24" s="1"/>
  <c r="H145" i="3" s="1"/>
  <c r="I12" i="20"/>
  <c r="H122" i="3" s="1"/>
  <c r="G12" i="20"/>
  <c r="F122" i="3" s="1"/>
  <c r="J12" i="20"/>
  <c r="I122" i="3" s="1"/>
  <c r="F12" i="20"/>
  <c r="E122" i="3" s="1"/>
  <c r="H12" i="20"/>
  <c r="G122" i="3" s="1"/>
  <c r="S85" i="3"/>
  <c r="E85" i="59" s="1"/>
  <c r="N80" i="3"/>
  <c r="H31" i="13"/>
  <c r="H33" i="13" s="1"/>
  <c r="H22" i="13"/>
  <c r="K9" i="13" s="1"/>
  <c r="J76" i="3" s="1"/>
  <c r="F8" i="35"/>
  <c r="E27" i="3" s="1"/>
  <c r="J8" i="35"/>
  <c r="I27" i="3" s="1"/>
  <c r="N8" i="35"/>
  <c r="M27" i="3" s="1"/>
  <c r="R8" i="35"/>
  <c r="Q27" i="3" s="1"/>
  <c r="V8" i="35"/>
  <c r="U27" i="3" s="1"/>
  <c r="G8" i="35"/>
  <c r="F27" i="3" s="1"/>
  <c r="K8" i="35"/>
  <c r="J27" i="3" s="1"/>
  <c r="O8" i="35"/>
  <c r="N27" i="3" s="1"/>
  <c r="S8" i="35"/>
  <c r="R27" i="3" s="1"/>
  <c r="E8" i="35"/>
  <c r="D27" i="3" s="1"/>
  <c r="H8" i="35"/>
  <c r="G27" i="3" s="1"/>
  <c r="L8" i="35"/>
  <c r="K27" i="3" s="1"/>
  <c r="P8" i="35"/>
  <c r="O27" i="3" s="1"/>
  <c r="T8" i="35"/>
  <c r="S27" i="3" s="1"/>
  <c r="I8" i="35"/>
  <c r="H27" i="3" s="1"/>
  <c r="M8" i="35"/>
  <c r="L27" i="3" s="1"/>
  <c r="Q8" i="35"/>
  <c r="P27" i="3" s="1"/>
  <c r="U8" i="35"/>
  <c r="T27" i="3" s="1"/>
  <c r="E22" i="59"/>
  <c r="E19" i="59"/>
  <c r="E71" i="40"/>
  <c r="H33" i="27"/>
  <c r="H17" i="26"/>
  <c r="I8" i="26" s="1"/>
  <c r="J10" i="25"/>
  <c r="I150" i="3" s="1"/>
  <c r="O10" i="25"/>
  <c r="N150" i="3" s="1"/>
  <c r="I10" i="25"/>
  <c r="H150" i="3" s="1"/>
  <c r="N10" i="25"/>
  <c r="M150" i="3" s="1"/>
  <c r="H10" i="25"/>
  <c r="G150" i="3" s="1"/>
  <c r="M10" i="25"/>
  <c r="L150" i="3" s="1"/>
  <c r="P10" i="25"/>
  <c r="O150" i="3" s="1"/>
  <c r="L10" i="25"/>
  <c r="K150" i="3" s="1"/>
  <c r="K10" i="25"/>
  <c r="J150" i="3" s="1"/>
  <c r="G10" i="25"/>
  <c r="O10" i="24"/>
  <c r="N146" i="3" s="1"/>
  <c r="N143" i="3" s="1"/>
  <c r="S10" i="24"/>
  <c r="R146" i="3" s="1"/>
  <c r="N10" i="24"/>
  <c r="M146" i="3" s="1"/>
  <c r="Q10" i="24"/>
  <c r="P146" i="3" s="1"/>
  <c r="U10" i="24"/>
  <c r="T146" i="3" s="1"/>
  <c r="V10" i="24"/>
  <c r="U146" i="3" s="1"/>
  <c r="P10" i="24"/>
  <c r="O146" i="3" s="1"/>
  <c r="R10" i="24"/>
  <c r="Q146" i="3" s="1"/>
  <c r="T10" i="24"/>
  <c r="S146" i="3" s="1"/>
  <c r="H14" i="27"/>
  <c r="H17" i="27" s="1"/>
  <c r="E60" i="40"/>
  <c r="G60" i="40" s="1"/>
  <c r="G63" i="40" s="1"/>
  <c r="E50" i="40"/>
  <c r="G50" i="40" s="1"/>
  <c r="D138" i="3"/>
  <c r="E97" i="59"/>
  <c r="L8" i="37"/>
  <c r="K101" i="3" s="1"/>
  <c r="I8" i="37"/>
  <c r="H8" i="37"/>
  <c r="E89" i="59"/>
  <c r="R80" i="3"/>
  <c r="I80" i="3"/>
  <c r="H80" i="3"/>
  <c r="J10" i="13"/>
  <c r="I77" i="3" s="1"/>
  <c r="N10" i="13"/>
  <c r="M77" i="3" s="1"/>
  <c r="K10" i="13"/>
  <c r="J77" i="3" s="1"/>
  <c r="O10" i="13"/>
  <c r="N77" i="3" s="1"/>
  <c r="H10" i="13"/>
  <c r="G77" i="3" s="1"/>
  <c r="L10" i="13"/>
  <c r="K77" i="3" s="1"/>
  <c r="P10" i="13"/>
  <c r="O77" i="3" s="1"/>
  <c r="I10" i="13"/>
  <c r="H77" i="3" s="1"/>
  <c r="M10" i="13"/>
  <c r="L77" i="3" s="1"/>
  <c r="G10" i="13"/>
  <c r="H11" i="12"/>
  <c r="G59" i="3" s="1"/>
  <c r="L11" i="12"/>
  <c r="K59" i="3" s="1"/>
  <c r="P11" i="12"/>
  <c r="O59" i="3" s="1"/>
  <c r="F11" i="12"/>
  <c r="E59" i="3" s="1"/>
  <c r="J11" i="12"/>
  <c r="I59" i="3" s="1"/>
  <c r="N11" i="12"/>
  <c r="M59" i="3" s="1"/>
  <c r="I11" i="12"/>
  <c r="H59" i="3" s="1"/>
  <c r="E11" i="12"/>
  <c r="G11" i="12"/>
  <c r="F59" i="3" s="1"/>
  <c r="K11" i="12"/>
  <c r="J59" i="3" s="1"/>
  <c r="M11" i="12"/>
  <c r="L59" i="3" s="1"/>
  <c r="O11" i="12"/>
  <c r="N59" i="3" s="1"/>
  <c r="G64" i="9"/>
  <c r="H46" i="8"/>
  <c r="I11" i="10"/>
  <c r="H52" i="3" s="1"/>
  <c r="M11" i="10"/>
  <c r="L52" i="3" s="1"/>
  <c r="O11" i="10"/>
  <c r="N52" i="3" s="1"/>
  <c r="K11" i="10"/>
  <c r="J52" i="3" s="1"/>
  <c r="F11" i="10"/>
  <c r="G11" i="10"/>
  <c r="F52" i="3" s="1"/>
  <c r="H51" i="9"/>
  <c r="E37" i="3"/>
  <c r="H21" i="8"/>
  <c r="E10" i="59"/>
  <c r="H36" i="31"/>
  <c r="E39" i="58"/>
  <c r="G39" i="58" s="1"/>
  <c r="G42" i="58" s="1"/>
  <c r="E21" i="9"/>
  <c r="H21" i="9" s="1"/>
  <c r="H22" i="9" s="1"/>
  <c r="E38" i="11"/>
  <c r="G38" i="11" s="1"/>
  <c r="G40" i="11" s="1"/>
  <c r="E21" i="31"/>
  <c r="H21" i="31" s="1"/>
  <c r="F46" i="34"/>
  <c r="H46" i="34" s="1"/>
  <c r="H49" i="34" s="1"/>
  <c r="M10" i="24"/>
  <c r="L146" i="3" s="1"/>
  <c r="K10" i="24"/>
  <c r="J146" i="3" s="1"/>
  <c r="L10" i="24"/>
  <c r="K146" i="3" s="1"/>
  <c r="I10" i="24"/>
  <c r="J10" i="24"/>
  <c r="I146" i="3" s="1"/>
  <c r="H44" i="3"/>
  <c r="E25" i="59"/>
  <c r="H19" i="34"/>
  <c r="D19" i="59"/>
  <c r="E40" i="2"/>
  <c r="G40" i="2" s="1"/>
  <c r="G46" i="2" s="1"/>
  <c r="E54" i="2"/>
  <c r="G54" i="2" s="1"/>
  <c r="L11" i="27"/>
  <c r="K159" i="3" s="1"/>
  <c r="P11" i="27"/>
  <c r="O159" i="3" s="1"/>
  <c r="T11" i="27"/>
  <c r="S159" i="3" s="1"/>
  <c r="N11" i="27"/>
  <c r="M159" i="3" s="1"/>
  <c r="R11" i="27"/>
  <c r="Q159" i="3" s="1"/>
  <c r="V11" i="27"/>
  <c r="U159" i="3" s="1"/>
  <c r="S11" i="27"/>
  <c r="R159" i="3" s="1"/>
  <c r="O11" i="27"/>
  <c r="N159" i="3" s="1"/>
  <c r="Q11" i="27"/>
  <c r="P159" i="3" s="1"/>
  <c r="Q153" i="52" s="1"/>
  <c r="M11" i="27"/>
  <c r="L159" i="3" s="1"/>
  <c r="U11" i="27"/>
  <c r="T159" i="3" s="1"/>
  <c r="H39" i="25"/>
  <c r="E86" i="59"/>
  <c r="O80" i="3"/>
  <c r="H12" i="11"/>
  <c r="G65" i="3" s="1"/>
  <c r="L12" i="11"/>
  <c r="K65" i="3" s="1"/>
  <c r="P12" i="11"/>
  <c r="O65" i="3" s="1"/>
  <c r="T12" i="11"/>
  <c r="S65" i="3" s="1"/>
  <c r="J12" i="11"/>
  <c r="I65" i="3" s="1"/>
  <c r="N12" i="11"/>
  <c r="M65" i="3" s="1"/>
  <c r="R12" i="11"/>
  <c r="Q65" i="3" s="1"/>
  <c r="V12" i="11"/>
  <c r="U65" i="3" s="1"/>
  <c r="G12" i="11"/>
  <c r="F65" i="3" s="1"/>
  <c r="K12" i="11"/>
  <c r="J65" i="3" s="1"/>
  <c r="O12" i="11"/>
  <c r="N65" i="3" s="1"/>
  <c r="S12" i="11"/>
  <c r="R65" i="3" s="1"/>
  <c r="F12" i="11"/>
  <c r="E65" i="3" s="1"/>
  <c r="C65" i="59" s="1"/>
  <c r="I12" i="11"/>
  <c r="H65" i="3" s="1"/>
  <c r="V65" i="3" s="1"/>
  <c r="Q12" i="11"/>
  <c r="P65" i="3" s="1"/>
  <c r="U12" i="11"/>
  <c r="T65" i="3" s="1"/>
  <c r="M12" i="11"/>
  <c r="L65" i="3" s="1"/>
  <c r="G12" i="10"/>
  <c r="H12" i="10"/>
  <c r="G53" i="3" s="1"/>
  <c r="H43" i="3"/>
  <c r="G58" i="9"/>
  <c r="F13" i="9" s="1"/>
  <c r="V16" i="8"/>
  <c r="U39" i="3" s="1"/>
  <c r="N16" i="8"/>
  <c r="M39" i="3" s="1"/>
  <c r="J16" i="8"/>
  <c r="I39" i="3" s="1"/>
  <c r="T16" i="8"/>
  <c r="S39" i="3" s="1"/>
  <c r="P16" i="8"/>
  <c r="O39" i="3" s="1"/>
  <c r="H16" i="8"/>
  <c r="G39" i="3" s="1"/>
  <c r="M16" i="8"/>
  <c r="L39" i="3" s="1"/>
  <c r="Q16" i="8"/>
  <c r="P39" i="3" s="1"/>
  <c r="S16" i="8"/>
  <c r="R39" i="3" s="1"/>
  <c r="K16" i="8"/>
  <c r="J39" i="3" s="1"/>
  <c r="G16" i="8"/>
  <c r="H57" i="34"/>
  <c r="H30" i="33"/>
  <c r="E11" i="59"/>
  <c r="E9" i="59"/>
  <c r="H69" i="31"/>
  <c r="F12" i="31" s="1"/>
  <c r="G27" i="40"/>
  <c r="G9" i="40" s="1"/>
  <c r="F132" i="3" s="1"/>
  <c r="H36" i="40"/>
  <c r="F10" i="40" s="1"/>
  <c r="E133" i="3" s="1"/>
  <c r="H9" i="40"/>
  <c r="G132" i="3" s="1"/>
  <c r="F9" i="40"/>
  <c r="E132" i="3" s="1"/>
  <c r="K8" i="21"/>
  <c r="J124" i="3" s="1"/>
  <c r="H18" i="21"/>
  <c r="H37" i="21"/>
  <c r="H45" i="20"/>
  <c r="H38" i="20"/>
  <c r="H22" i="20"/>
  <c r="U10" i="20"/>
  <c r="T120" i="3" s="1"/>
  <c r="L10" i="20"/>
  <c r="K120" i="3" s="1"/>
  <c r="K117" i="3" s="1"/>
  <c r="R10" i="20"/>
  <c r="Q120" i="3" s="1"/>
  <c r="Q10" i="20"/>
  <c r="P120" i="3" s="1"/>
  <c r="N10" i="20"/>
  <c r="M120" i="3" s="1"/>
  <c r="V10" i="20"/>
  <c r="U120" i="3" s="1"/>
  <c r="M10" i="20"/>
  <c r="L120" i="3" s="1"/>
  <c r="L117" i="3" s="1"/>
  <c r="H21" i="39"/>
  <c r="G8" i="39" s="1"/>
  <c r="F111" i="3" s="1"/>
  <c r="O9" i="13"/>
  <c r="N76" i="3" s="1"/>
  <c r="H9" i="13"/>
  <c r="G76" i="3" s="1"/>
  <c r="I9" i="13"/>
  <c r="H76" i="3" s="1"/>
  <c r="H32" i="11"/>
  <c r="F10" i="11" s="1"/>
  <c r="E63" i="3" s="1"/>
  <c r="G10" i="32"/>
  <c r="H33" i="32"/>
  <c r="H9" i="32" s="1"/>
  <c r="G14" i="3" s="1"/>
  <c r="H24" i="27"/>
  <c r="H25" i="11"/>
  <c r="F8" i="11"/>
  <c r="E61" i="3" s="1"/>
  <c r="J8" i="11"/>
  <c r="I61" i="3" s="1"/>
  <c r="N8" i="11"/>
  <c r="M61" i="3" s="1"/>
  <c r="R8" i="11"/>
  <c r="Q61" i="3" s="1"/>
  <c r="V8" i="11"/>
  <c r="U61" i="3" s="1"/>
  <c r="G8" i="11"/>
  <c r="F61" i="3" s="1"/>
  <c r="K8" i="11"/>
  <c r="J61" i="3" s="1"/>
  <c r="O8" i="11"/>
  <c r="N61" i="3" s="1"/>
  <c r="S8" i="11"/>
  <c r="R61" i="3" s="1"/>
  <c r="E8" i="11"/>
  <c r="D61" i="3" s="1"/>
  <c r="H8" i="11"/>
  <c r="G61" i="3" s="1"/>
  <c r="L8" i="11"/>
  <c r="K61" i="3" s="1"/>
  <c r="P8" i="11"/>
  <c r="O61" i="3" s="1"/>
  <c r="T8" i="11"/>
  <c r="S61" i="3" s="1"/>
  <c r="I8" i="11"/>
  <c r="H61" i="3" s="1"/>
  <c r="M8" i="11"/>
  <c r="L61" i="3" s="1"/>
  <c r="Q8" i="11"/>
  <c r="P61" i="3" s="1"/>
  <c r="U8" i="11"/>
  <c r="T61" i="3" s="1"/>
  <c r="G19" i="12"/>
  <c r="E8" i="12"/>
  <c r="D56" i="3" s="1"/>
  <c r="L10" i="9"/>
  <c r="K43" i="3" s="1"/>
  <c r="P10" i="9"/>
  <c r="O43" i="3" s="1"/>
  <c r="K10" i="9"/>
  <c r="J43" i="3" s="1"/>
  <c r="M10" i="9"/>
  <c r="L43" i="3" s="1"/>
  <c r="Q10" i="9"/>
  <c r="P43" i="3" s="1"/>
  <c r="O10" i="9"/>
  <c r="N43" i="3" s="1"/>
  <c r="S10" i="9"/>
  <c r="R43" i="3" s="1"/>
  <c r="J10" i="9"/>
  <c r="I43" i="3" s="1"/>
  <c r="N10" i="9"/>
  <c r="M43" i="3" s="1"/>
  <c r="R10" i="9"/>
  <c r="Q43" i="3" s="1"/>
  <c r="T13" i="9"/>
  <c r="S46" i="3" s="1"/>
  <c r="K9" i="9"/>
  <c r="J42" i="3" s="1"/>
  <c r="I9" i="9"/>
  <c r="H42" i="3" s="1"/>
  <c r="J9" i="9"/>
  <c r="I42" i="3" s="1"/>
  <c r="H32" i="9"/>
  <c r="Q13" i="9"/>
  <c r="P46" i="3" s="1"/>
  <c r="J13" i="9"/>
  <c r="I46" i="3" s="1"/>
  <c r="C37" i="52"/>
  <c r="D37" i="52" s="1"/>
  <c r="L12" i="8"/>
  <c r="K35" i="3" s="1"/>
  <c r="S12" i="8"/>
  <c r="R35" i="3" s="1"/>
  <c r="M12" i="8"/>
  <c r="L35" i="3" s="1"/>
  <c r="J12" i="8"/>
  <c r="I35" i="3" s="1"/>
  <c r="R12" i="8"/>
  <c r="Q35" i="3" s="1"/>
  <c r="O12" i="8"/>
  <c r="N35" i="3" s="1"/>
  <c r="I12" i="8"/>
  <c r="N12" i="8"/>
  <c r="M35" i="3" s="1"/>
  <c r="K12" i="8"/>
  <c r="J35" i="3" s="1"/>
  <c r="P12" i="8"/>
  <c r="O35" i="3" s="1"/>
  <c r="Q12" i="8"/>
  <c r="P35" i="3" s="1"/>
  <c r="H30" i="8"/>
  <c r="F9" i="8" s="1"/>
  <c r="V14" i="8"/>
  <c r="U37" i="3" s="1"/>
  <c r="Q13" i="8"/>
  <c r="P36" i="3" s="1"/>
  <c r="H60" i="8"/>
  <c r="F13" i="8" s="1"/>
  <c r="H15" i="8"/>
  <c r="G38" i="3" s="1"/>
  <c r="H72" i="8"/>
  <c r="U14" i="8"/>
  <c r="T37" i="3" s="1"/>
  <c r="Q14" i="8"/>
  <c r="P37" i="3" s="1"/>
  <c r="K13" i="8"/>
  <c r="J36" i="3" s="1"/>
  <c r="H32" i="39"/>
  <c r="J9" i="39" s="1"/>
  <c r="I112" i="3" s="1"/>
  <c r="H56" i="38"/>
  <c r="J12" i="38" s="1"/>
  <c r="I109" i="3" s="1"/>
  <c r="H37" i="38"/>
  <c r="H29" i="38"/>
  <c r="G9" i="38" s="1"/>
  <c r="F106" i="3" s="1"/>
  <c r="G22" i="37"/>
  <c r="G26" i="35"/>
  <c r="K8" i="34"/>
  <c r="J21" i="3" s="1"/>
  <c r="O8" i="34"/>
  <c r="N21" i="3" s="1"/>
  <c r="S8" i="34"/>
  <c r="R21" i="3" s="1"/>
  <c r="L8" i="34"/>
  <c r="K21" i="3" s="1"/>
  <c r="P8" i="34"/>
  <c r="O21" i="3" s="1"/>
  <c r="T8" i="34"/>
  <c r="S21" i="3" s="1"/>
  <c r="M8" i="34"/>
  <c r="L21" i="3" s="1"/>
  <c r="Q8" i="34"/>
  <c r="P21" i="3" s="1"/>
  <c r="U8" i="34"/>
  <c r="T21" i="3" s="1"/>
  <c r="V8" i="34"/>
  <c r="U21" i="3" s="1"/>
  <c r="N8" i="34"/>
  <c r="M21" i="3" s="1"/>
  <c r="R8" i="34"/>
  <c r="Q21" i="3" s="1"/>
  <c r="J8" i="34"/>
  <c r="I21" i="3" s="1"/>
  <c r="V8" i="24"/>
  <c r="U144" i="3" s="1"/>
  <c r="U143" i="3" s="1"/>
  <c r="Q8" i="24"/>
  <c r="P144" i="3" s="1"/>
  <c r="O10" i="27"/>
  <c r="N158" i="3" s="1"/>
  <c r="L8" i="24"/>
  <c r="K144" i="3" s="1"/>
  <c r="K143" i="3" s="1"/>
  <c r="G73" i="40"/>
  <c r="J11" i="21"/>
  <c r="I127" i="3" s="1"/>
  <c r="F26" i="34"/>
  <c r="I26" i="34" s="1"/>
  <c r="I29" i="34" s="1"/>
  <c r="F17" i="34"/>
  <c r="H17" i="34" s="1"/>
  <c r="T8" i="24"/>
  <c r="S144" i="3" s="1"/>
  <c r="S143" i="3" s="1"/>
  <c r="P8" i="24"/>
  <c r="O144" i="3" s="1"/>
  <c r="S8" i="21"/>
  <c r="S10" i="20"/>
  <c r="R120" i="3" s="1"/>
  <c r="R117" i="3" s="1"/>
  <c r="P11" i="21"/>
  <c r="O127" i="3" s="1"/>
  <c r="G8" i="21"/>
  <c r="F124" i="3" s="1"/>
  <c r="P10" i="20"/>
  <c r="O120" i="3" s="1"/>
  <c r="J10" i="20"/>
  <c r="I120" i="3" s="1"/>
  <c r="C116" i="52"/>
  <c r="H32" i="43"/>
  <c r="E25" i="12"/>
  <c r="R14" i="8"/>
  <c r="Q37" i="3" s="1"/>
  <c r="J14" i="8"/>
  <c r="I37" i="3" s="1"/>
  <c r="H37" i="8"/>
  <c r="H38" i="8" s="1"/>
  <c r="R8" i="24"/>
  <c r="Q144" i="3" s="1"/>
  <c r="Q143" i="3" s="1"/>
  <c r="E23" i="26"/>
  <c r="H23" i="26" s="1"/>
  <c r="H24" i="26" s="1"/>
  <c r="L9" i="26" s="1"/>
  <c r="K154" i="3" s="1"/>
  <c r="E24" i="25"/>
  <c r="H24" i="25" s="1"/>
  <c r="H26" i="25" s="1"/>
  <c r="I9" i="25" s="1"/>
  <c r="H149" i="3" s="1"/>
  <c r="N11" i="21"/>
  <c r="M127" i="3" s="1"/>
  <c r="E21" i="38"/>
  <c r="H21" i="38" s="1"/>
  <c r="O10" i="36"/>
  <c r="N99" i="3" s="1"/>
  <c r="E40" i="10"/>
  <c r="H40" i="10" s="1"/>
  <c r="H41" i="10" s="1"/>
  <c r="G10" i="10" s="1"/>
  <c r="F51" i="3" s="1"/>
  <c r="G23" i="33"/>
  <c r="G8" i="32"/>
  <c r="F13" i="3" s="1"/>
  <c r="H47" i="31"/>
  <c r="G10" i="31" s="1"/>
  <c r="H84" i="42"/>
  <c r="H38" i="42"/>
  <c r="H91" i="42"/>
  <c r="F16" i="42" s="1"/>
  <c r="E89" i="3" s="1"/>
  <c r="H67" i="42"/>
  <c r="H69" i="42" s="1"/>
  <c r="H77" i="42" s="1"/>
  <c r="T8" i="42"/>
  <c r="S81" i="3" s="1"/>
  <c r="S80" i="3" s="1"/>
  <c r="H52" i="42"/>
  <c r="H45" i="42"/>
  <c r="G10" i="42" s="1"/>
  <c r="F83" i="3" s="1"/>
  <c r="I9" i="36"/>
  <c r="H98" i="3" s="1"/>
  <c r="J9" i="36"/>
  <c r="I98" i="3" s="1"/>
  <c r="I96" i="3" s="1"/>
  <c r="U9" i="36"/>
  <c r="T98" i="3" s="1"/>
  <c r="V9" i="36"/>
  <c r="U98" i="3" s="1"/>
  <c r="U96" i="3" s="1"/>
  <c r="K9" i="36"/>
  <c r="J98" i="3" s="1"/>
  <c r="I10" i="12"/>
  <c r="H58" i="3" s="1"/>
  <c r="G10" i="12"/>
  <c r="Q10" i="12"/>
  <c r="P58" i="3" s="1"/>
  <c r="K10" i="12"/>
  <c r="J58" i="3" s="1"/>
  <c r="L10" i="12"/>
  <c r="K58" i="3" s="1"/>
  <c r="E21" i="10"/>
  <c r="H21" i="10" s="1"/>
  <c r="H22" i="10" s="1"/>
  <c r="E32" i="10"/>
  <c r="H32" i="10" s="1"/>
  <c r="H34" i="10" s="1"/>
  <c r="H35" i="31"/>
  <c r="E39" i="36"/>
  <c r="H39" i="36" s="1"/>
  <c r="H41" i="36" s="1"/>
  <c r="E20" i="2"/>
  <c r="G20" i="2" s="1"/>
  <c r="R9" i="36"/>
  <c r="Q98" i="3" s="1"/>
  <c r="O9" i="36"/>
  <c r="N98" i="3" s="1"/>
  <c r="N96" i="3" s="1"/>
  <c r="E29" i="36"/>
  <c r="H29" i="36" s="1"/>
  <c r="H31" i="36" s="1"/>
  <c r="F9" i="36" s="1"/>
  <c r="E18" i="36"/>
  <c r="H18" i="36" s="1"/>
  <c r="H20" i="36" s="1"/>
  <c r="L8" i="43"/>
  <c r="K91" i="3" s="1"/>
  <c r="K90" i="3" s="1"/>
  <c r="N8" i="43"/>
  <c r="M91" i="3" s="1"/>
  <c r="M90" i="3" s="1"/>
  <c r="T8" i="43"/>
  <c r="S91" i="3" s="1"/>
  <c r="S90" i="3" s="1"/>
  <c r="H24" i="42"/>
  <c r="H28" i="42" s="1"/>
  <c r="F8" i="42" s="1"/>
  <c r="E81" i="3" s="1"/>
  <c r="C75" i="52" s="1"/>
  <c r="F8" i="12"/>
  <c r="E56" i="3" s="1"/>
  <c r="H8" i="12"/>
  <c r="G56" i="3" s="1"/>
  <c r="E22" i="24"/>
  <c r="G22" i="24" s="1"/>
  <c r="E19" i="2"/>
  <c r="G19" i="2" s="1"/>
  <c r="T10" i="27"/>
  <c r="S158" i="3" s="1"/>
  <c r="J8" i="24"/>
  <c r="I144" i="3" s="1"/>
  <c r="M8" i="24"/>
  <c r="L144" i="3" s="1"/>
  <c r="L143" i="3" s="1"/>
  <c r="S8" i="24"/>
  <c r="R144" i="3" s="1"/>
  <c r="R143" i="3" s="1"/>
  <c r="Q9" i="36"/>
  <c r="P98" i="3" s="1"/>
  <c r="P96" i="3" s="1"/>
  <c r="H18" i="43"/>
  <c r="N8" i="42"/>
  <c r="M81" i="3" s="1"/>
  <c r="M80" i="3" s="1"/>
  <c r="Q8" i="42"/>
  <c r="P81" i="3" s="1"/>
  <c r="S10" i="27"/>
  <c r="R158" i="3" s="1"/>
  <c r="K9" i="21"/>
  <c r="J125" i="3" s="1"/>
  <c r="O9" i="21"/>
  <c r="N125" i="3" s="1"/>
  <c r="T9" i="21"/>
  <c r="S125" i="3" s="1"/>
  <c r="S8" i="43"/>
  <c r="R91" i="3" s="1"/>
  <c r="R90" i="3" s="1"/>
  <c r="P10" i="12"/>
  <c r="O58" i="3" s="1"/>
  <c r="G8" i="12"/>
  <c r="F56" i="3" s="1"/>
  <c r="I15" i="8"/>
  <c r="H38" i="3" s="1"/>
  <c r="J15" i="8"/>
  <c r="I38" i="3" s="1"/>
  <c r="G15" i="8"/>
  <c r="F38" i="3" s="1"/>
  <c r="D38" i="59" s="1"/>
  <c r="T14" i="8"/>
  <c r="S37" i="3" s="1"/>
  <c r="P14" i="8"/>
  <c r="O37" i="3" s="1"/>
  <c r="G30" i="21"/>
  <c r="G10" i="21" s="1"/>
  <c r="F126" i="3" s="1"/>
  <c r="E51" i="40"/>
  <c r="G51" i="40" s="1"/>
  <c r="E15" i="41"/>
  <c r="H15" i="41" s="1"/>
  <c r="H19" i="41" s="1"/>
  <c r="E20" i="38"/>
  <c r="H20" i="38" s="1"/>
  <c r="E16" i="37"/>
  <c r="G16" i="37" s="1"/>
  <c r="G18" i="37" s="1"/>
  <c r="H58" i="42"/>
  <c r="G12" i="42" s="1"/>
  <c r="F85" i="3" s="1"/>
  <c r="U13" i="9"/>
  <c r="T46" i="3" s="1"/>
  <c r="T40" i="3" s="1"/>
  <c r="S14" i="8"/>
  <c r="R37" i="3" s="1"/>
  <c r="L14" i="8"/>
  <c r="K37" i="3" s="1"/>
  <c r="G14" i="8"/>
  <c r="F37" i="3" s="1"/>
  <c r="Q8" i="43"/>
  <c r="P91" i="3" s="1"/>
  <c r="O8" i="43"/>
  <c r="N91" i="3" s="1"/>
  <c r="N90" i="3" s="1"/>
  <c r="Q69" i="52"/>
  <c r="J9" i="33"/>
  <c r="I18" i="3" s="1"/>
  <c r="N9" i="33"/>
  <c r="M18" i="3" s="1"/>
  <c r="R9" i="33"/>
  <c r="Q18" i="3" s="1"/>
  <c r="V9" i="33"/>
  <c r="U18" i="3" s="1"/>
  <c r="G9" i="33"/>
  <c r="K9" i="33"/>
  <c r="J18" i="3" s="1"/>
  <c r="O9" i="33"/>
  <c r="N18" i="3" s="1"/>
  <c r="S9" i="33"/>
  <c r="R18" i="3" s="1"/>
  <c r="H9" i="33"/>
  <c r="G18" i="3" s="1"/>
  <c r="L9" i="33"/>
  <c r="K18" i="3" s="1"/>
  <c r="P9" i="33"/>
  <c r="O18" i="3" s="1"/>
  <c r="T9" i="33"/>
  <c r="S18" i="3" s="1"/>
  <c r="I9" i="33"/>
  <c r="H18" i="3" s="1"/>
  <c r="M9" i="33"/>
  <c r="L18" i="3" s="1"/>
  <c r="Q9" i="33"/>
  <c r="P18" i="3" s="1"/>
  <c r="U9" i="33"/>
  <c r="T18" i="3" s="1"/>
  <c r="N8" i="20"/>
  <c r="M118" i="3" s="1"/>
  <c r="R8" i="20"/>
  <c r="Q118" i="3" s="1"/>
  <c r="V8" i="20"/>
  <c r="U118" i="3" s="1"/>
  <c r="F15" i="8"/>
  <c r="H39" i="27"/>
  <c r="G11" i="27" s="1"/>
  <c r="K8" i="24"/>
  <c r="J144" i="3" s="1"/>
  <c r="G16" i="24"/>
  <c r="H8" i="24" s="1"/>
  <c r="L11" i="21"/>
  <c r="K127" i="3" s="1"/>
  <c r="E8" i="21"/>
  <c r="D124" i="3" s="1"/>
  <c r="Q8" i="37"/>
  <c r="P101" i="3" s="1"/>
  <c r="N8" i="37"/>
  <c r="M101" i="3" s="1"/>
  <c r="H39" i="43"/>
  <c r="K8" i="43"/>
  <c r="J91" i="3" s="1"/>
  <c r="H15" i="13"/>
  <c r="N8" i="24"/>
  <c r="M144" i="3" s="1"/>
  <c r="V10" i="36"/>
  <c r="U99" i="3" s="1"/>
  <c r="M8" i="37"/>
  <c r="L101" i="3" s="1"/>
  <c r="N9" i="36"/>
  <c r="M98" i="3" s="1"/>
  <c r="J8" i="43"/>
  <c r="I91" i="3" s="1"/>
  <c r="N14" i="8"/>
  <c r="M37" i="3" s="1"/>
  <c r="C23" i="52"/>
  <c r="Q44" i="52"/>
  <c r="C70" i="52"/>
  <c r="C81" i="52"/>
  <c r="C78" i="52"/>
  <c r="C77" i="52"/>
  <c r="C101" i="52"/>
  <c r="C107" i="52"/>
  <c r="Q120" i="52"/>
  <c r="C129" i="52"/>
  <c r="Q127" i="52"/>
  <c r="Q125" i="52"/>
  <c r="Q135" i="52"/>
  <c r="C139" i="52"/>
  <c r="U8" i="37"/>
  <c r="T101" i="3" s="1"/>
  <c r="J8" i="37"/>
  <c r="I101" i="3" s="1"/>
  <c r="G60" i="2"/>
  <c r="F10" i="2" s="1"/>
  <c r="Q11" i="2"/>
  <c r="L11" i="2"/>
  <c r="V11" i="2"/>
  <c r="I12" i="38"/>
  <c r="H109" i="3" s="1"/>
  <c r="H23" i="43"/>
  <c r="G90" i="2"/>
  <c r="G12" i="2" s="1"/>
  <c r="K10" i="27"/>
  <c r="J158" i="3" s="1"/>
  <c r="E17" i="25"/>
  <c r="H17" i="25" s="1"/>
  <c r="H18" i="25" s="1"/>
  <c r="J9" i="21"/>
  <c r="I125" i="3" s="1"/>
  <c r="R10" i="36"/>
  <c r="Q99" i="3" s="1"/>
  <c r="K10" i="36"/>
  <c r="J99" i="3" s="1"/>
  <c r="J96" i="3" s="1"/>
  <c r="U8" i="43"/>
  <c r="T91" i="3" s="1"/>
  <c r="M8" i="43"/>
  <c r="L91" i="3" s="1"/>
  <c r="L90" i="3" s="1"/>
  <c r="K8" i="42"/>
  <c r="J81" i="3" s="1"/>
  <c r="J80" i="3" s="1"/>
  <c r="H64" i="42"/>
  <c r="L13" i="8"/>
  <c r="K36" i="3" s="1"/>
  <c r="J13" i="8"/>
  <c r="I36" i="3" s="1"/>
  <c r="O13" i="8"/>
  <c r="N36" i="3" s="1"/>
  <c r="U13" i="8"/>
  <c r="T36" i="3" s="1"/>
  <c r="M13" i="8"/>
  <c r="L36" i="3" s="1"/>
  <c r="S13" i="8"/>
  <c r="R36" i="3" s="1"/>
  <c r="I13" i="8"/>
  <c r="H36" i="3" s="1"/>
  <c r="N13" i="8"/>
  <c r="M36" i="3" s="1"/>
  <c r="T13" i="8"/>
  <c r="S36" i="3" s="1"/>
  <c r="Q51" i="52"/>
  <c r="C43" i="52"/>
  <c r="H9" i="21"/>
  <c r="G125" i="3" s="1"/>
  <c r="Q10" i="36"/>
  <c r="P99" i="3" s="1"/>
  <c r="P10" i="36"/>
  <c r="O99" i="3" s="1"/>
  <c r="H10" i="36"/>
  <c r="G99" i="3" s="1"/>
  <c r="J12" i="10"/>
  <c r="I53" i="3" s="1"/>
  <c r="M9" i="9"/>
  <c r="L42" i="3" s="1"/>
  <c r="O9" i="9"/>
  <c r="N42" i="3" s="1"/>
  <c r="Q9" i="9"/>
  <c r="P42" i="3" s="1"/>
  <c r="E38" i="33"/>
  <c r="H38" i="33" s="1"/>
  <c r="H40" i="33" s="1"/>
  <c r="F36" i="34"/>
  <c r="I36" i="34" s="1"/>
  <c r="I39" i="34" s="1"/>
  <c r="M9" i="39"/>
  <c r="L112" i="3" s="1"/>
  <c r="H9" i="8"/>
  <c r="G32" i="3" s="1"/>
  <c r="S9" i="8"/>
  <c r="R32" i="3" s="1"/>
  <c r="J9" i="8"/>
  <c r="I32" i="3" s="1"/>
  <c r="V9" i="8"/>
  <c r="U32" i="3" s="1"/>
  <c r="N9" i="8"/>
  <c r="M32" i="3" s="1"/>
  <c r="R9" i="8"/>
  <c r="Q32" i="3" s="1"/>
  <c r="E20" i="31"/>
  <c r="H20" i="31" s="1"/>
  <c r="E56" i="31"/>
  <c r="H56" i="31" s="1"/>
  <c r="H61" i="31" s="1"/>
  <c r="G11" i="31" s="1"/>
  <c r="C10" i="52"/>
  <c r="C9" i="52"/>
  <c r="C24" i="52"/>
  <c r="Q38" i="52"/>
  <c r="Q47" i="52"/>
  <c r="C47" i="52"/>
  <c r="C42" i="52"/>
  <c r="Q53" i="52"/>
  <c r="C53" i="52"/>
  <c r="Q50" i="52"/>
  <c r="Q49" i="52"/>
  <c r="Q59" i="52"/>
  <c r="C67" i="52"/>
  <c r="D67" i="52" s="1"/>
  <c r="Q63" i="52"/>
  <c r="Q72" i="52"/>
  <c r="Q70" i="52"/>
  <c r="C79" i="52"/>
  <c r="Q102" i="52"/>
  <c r="J102" i="52"/>
  <c r="Q99" i="52"/>
  <c r="C106" i="52"/>
  <c r="Q113" i="52"/>
  <c r="C128" i="52"/>
  <c r="J125" i="52"/>
  <c r="Q133" i="52"/>
  <c r="C140" i="52"/>
  <c r="S9" i="21"/>
  <c r="R125" i="3" s="1"/>
  <c r="N9" i="21"/>
  <c r="M125" i="3" s="1"/>
  <c r="H29" i="20"/>
  <c r="F9" i="20" s="1"/>
  <c r="E119" i="3" s="1"/>
  <c r="H38" i="39"/>
  <c r="U10" i="36"/>
  <c r="T99" i="3" s="1"/>
  <c r="L10" i="36"/>
  <c r="K99" i="3" s="1"/>
  <c r="Q56" i="52"/>
  <c r="O10" i="12"/>
  <c r="N58" i="3" s="1"/>
  <c r="J10" i="12"/>
  <c r="I58" i="3" s="1"/>
  <c r="N10" i="12"/>
  <c r="M58" i="3" s="1"/>
  <c r="H10" i="12"/>
  <c r="G58" i="3" s="1"/>
  <c r="N13" i="9"/>
  <c r="M46" i="3" s="1"/>
  <c r="O14" i="8"/>
  <c r="N37" i="3" s="1"/>
  <c r="K14" i="8"/>
  <c r="J37" i="3" s="1"/>
  <c r="P12" i="9"/>
  <c r="O45" i="3" s="1"/>
  <c r="Q8" i="8"/>
  <c r="P31" i="3" s="1"/>
  <c r="M14" i="8"/>
  <c r="L37" i="3" s="1"/>
  <c r="L12" i="34"/>
  <c r="K25" i="3" s="1"/>
  <c r="Q17" i="52"/>
  <c r="G29" i="2"/>
  <c r="G10" i="27"/>
  <c r="F158" i="3" s="1"/>
  <c r="E11" i="38"/>
  <c r="D108" i="3" s="1"/>
  <c r="F11" i="38"/>
  <c r="E108" i="3" s="1"/>
  <c r="G73" i="2"/>
  <c r="U8" i="2"/>
  <c r="Q8" i="2"/>
  <c r="U10" i="27"/>
  <c r="T158" i="3" s="1"/>
  <c r="Q10" i="27"/>
  <c r="P158" i="3" s="1"/>
  <c r="Q8" i="26"/>
  <c r="P153" i="3" s="1"/>
  <c r="P10" i="27"/>
  <c r="O158" i="3" s="1"/>
  <c r="L10" i="27"/>
  <c r="K158" i="3" s="1"/>
  <c r="K8" i="26"/>
  <c r="J153" i="3" s="1"/>
  <c r="D10" i="41"/>
  <c r="C141" i="3" s="1"/>
  <c r="V9" i="21"/>
  <c r="U125" i="3" s="1"/>
  <c r="K11" i="21"/>
  <c r="J127" i="3" s="1"/>
  <c r="O11" i="21"/>
  <c r="N127" i="3" s="1"/>
  <c r="Q11" i="21"/>
  <c r="P127" i="3" s="1"/>
  <c r="E127" i="59" s="1"/>
  <c r="P9" i="21"/>
  <c r="O125" i="3" s="1"/>
  <c r="C105" i="52"/>
  <c r="C65" i="52"/>
  <c r="D65" i="52" s="1"/>
  <c r="Y65" i="52" s="1"/>
  <c r="E10" i="11"/>
  <c r="D63" i="3" s="1"/>
  <c r="C142" i="52"/>
  <c r="C141" i="52" s="1"/>
  <c r="Q134" i="52"/>
  <c r="J116" i="52"/>
  <c r="I9" i="21"/>
  <c r="H125" i="3" s="1"/>
  <c r="M9" i="21"/>
  <c r="L125" i="3" s="1"/>
  <c r="Q9" i="21"/>
  <c r="P125" i="3" s="1"/>
  <c r="U9" i="21"/>
  <c r="T125" i="3" s="1"/>
  <c r="Q108" i="52"/>
  <c r="J109" i="52"/>
  <c r="Q91" i="52"/>
  <c r="K11" i="9"/>
  <c r="J44" i="3" s="1"/>
  <c r="J11" i="9"/>
  <c r="I44" i="3" s="1"/>
  <c r="C39" i="52"/>
  <c r="N10" i="27"/>
  <c r="M158" i="3" s="1"/>
  <c r="J10" i="27"/>
  <c r="I158" i="3" s="1"/>
  <c r="C138" i="52"/>
  <c r="J135" i="52"/>
  <c r="G24" i="21"/>
  <c r="Q82" i="52"/>
  <c r="C66" i="52"/>
  <c r="D66" i="52" s="1"/>
  <c r="Y66" i="52" s="1"/>
  <c r="I14" i="9"/>
  <c r="H47" i="3" s="1"/>
  <c r="K14" i="9"/>
  <c r="J47" i="3" s="1"/>
  <c r="V10" i="27"/>
  <c r="U158" i="3" s="1"/>
  <c r="R10" i="27"/>
  <c r="Q158" i="3" s="1"/>
  <c r="M10" i="27"/>
  <c r="L158" i="3" s="1"/>
  <c r="C147" i="52"/>
  <c r="H43" i="40"/>
  <c r="F10" i="41"/>
  <c r="E141" i="3" s="1"/>
  <c r="C133" i="52"/>
  <c r="R9" i="21"/>
  <c r="Q125" i="3" s="1"/>
  <c r="Q112" i="52"/>
  <c r="L9" i="21"/>
  <c r="K125" i="3" s="1"/>
  <c r="J8" i="20"/>
  <c r="I118" i="3" s="1"/>
  <c r="Q109" i="52"/>
  <c r="H12" i="38"/>
  <c r="G109" i="3" s="1"/>
  <c r="Q83" i="52"/>
  <c r="O8" i="8"/>
  <c r="N31" i="3" s="1"/>
  <c r="T10" i="20"/>
  <c r="S120" i="3" s="1"/>
  <c r="S117" i="3" s="1"/>
  <c r="O8" i="21"/>
  <c r="N124" i="3" s="1"/>
  <c r="O10" i="20"/>
  <c r="N120" i="3" s="1"/>
  <c r="N117" i="3" s="1"/>
  <c r="K10" i="20"/>
  <c r="J120" i="3" s="1"/>
  <c r="C118" i="52"/>
  <c r="V8" i="37"/>
  <c r="U101" i="3" s="1"/>
  <c r="R8" i="37"/>
  <c r="Q101" i="3" s="1"/>
  <c r="S10" i="36"/>
  <c r="R99" i="3" s="1"/>
  <c r="S9" i="36"/>
  <c r="R98" i="3" s="1"/>
  <c r="O8" i="37"/>
  <c r="N101" i="3" s="1"/>
  <c r="K8" i="37"/>
  <c r="J101" i="3" s="1"/>
  <c r="M10" i="36"/>
  <c r="L99" i="3" s="1"/>
  <c r="I10" i="36"/>
  <c r="H99" i="3" s="1"/>
  <c r="P9" i="36"/>
  <c r="O98" i="3" s="1"/>
  <c r="O96" i="3" s="1"/>
  <c r="L9" i="36"/>
  <c r="K98" i="3" s="1"/>
  <c r="K96" i="3" s="1"/>
  <c r="H9" i="36"/>
  <c r="G98" i="3" s="1"/>
  <c r="G96" i="3" s="1"/>
  <c r="V8" i="43"/>
  <c r="U91" i="3" s="1"/>
  <c r="U90" i="3" s="1"/>
  <c r="R8" i="43"/>
  <c r="Q91" i="3" s="1"/>
  <c r="Q90" i="3" s="1"/>
  <c r="P8" i="43"/>
  <c r="O91" i="3" s="1"/>
  <c r="O90" i="3" s="1"/>
  <c r="M10" i="12"/>
  <c r="L58" i="3" s="1"/>
  <c r="I8" i="12"/>
  <c r="H56" i="3" s="1"/>
  <c r="C69" i="52"/>
  <c r="V13" i="9"/>
  <c r="U46" i="3" s="1"/>
  <c r="U40" i="3" s="1"/>
  <c r="R13" i="9"/>
  <c r="Q46" i="3" s="1"/>
  <c r="R9" i="9"/>
  <c r="Q42" i="3" s="1"/>
  <c r="Q40" i="3" s="1"/>
  <c r="V13" i="8"/>
  <c r="U36" i="3" s="1"/>
  <c r="R13" i="8"/>
  <c r="Q36" i="3" s="1"/>
  <c r="U9" i="8"/>
  <c r="T32" i="3" s="1"/>
  <c r="Q9" i="8"/>
  <c r="P32" i="3" s="1"/>
  <c r="I12" i="10"/>
  <c r="H53" i="3" s="1"/>
  <c r="O13" i="9"/>
  <c r="N46" i="3" s="1"/>
  <c r="K13" i="9"/>
  <c r="J46" i="3" s="1"/>
  <c r="G13" i="9"/>
  <c r="F46" i="3" s="1"/>
  <c r="P9" i="9"/>
  <c r="O42" i="3" s="1"/>
  <c r="L9" i="9"/>
  <c r="K42" i="3" s="1"/>
  <c r="P13" i="8"/>
  <c r="O36" i="3" s="1"/>
  <c r="O9" i="8"/>
  <c r="N32" i="3" s="1"/>
  <c r="K9" i="8"/>
  <c r="J32" i="3" s="1"/>
  <c r="G9" i="8"/>
  <c r="F32" i="3" s="1"/>
  <c r="Q25" i="52"/>
  <c r="Q22" i="52"/>
  <c r="Q19" i="52"/>
  <c r="Q11" i="52"/>
  <c r="Q10" i="52"/>
  <c r="Q80" i="52"/>
  <c r="C41" i="52"/>
  <c r="Q58" i="52"/>
  <c r="C56" i="52"/>
  <c r="K12" i="10"/>
  <c r="J53" i="3" s="1"/>
  <c r="M13" i="9"/>
  <c r="L46" i="3" s="1"/>
  <c r="I13" i="9"/>
  <c r="H46" i="3" s="1"/>
  <c r="N9" i="9"/>
  <c r="M42" i="3" s="1"/>
  <c r="M9" i="8"/>
  <c r="L32" i="3" s="1"/>
  <c r="I9" i="8"/>
  <c r="H32" i="3" s="1"/>
  <c r="J108" i="52"/>
  <c r="S8" i="37"/>
  <c r="R101" i="3" s="1"/>
  <c r="T10" i="36"/>
  <c r="S99" i="3" s="1"/>
  <c r="T9" i="36"/>
  <c r="S98" i="3" s="1"/>
  <c r="S96" i="3" s="1"/>
  <c r="P8" i="37"/>
  <c r="O101" i="3" s="1"/>
  <c r="N10" i="36"/>
  <c r="M99" i="3" s="1"/>
  <c r="M9" i="36"/>
  <c r="L98" i="3" s="1"/>
  <c r="C85" i="52"/>
  <c r="C84" i="52" s="1"/>
  <c r="S13" i="9"/>
  <c r="R46" i="3" s="1"/>
  <c r="S9" i="9"/>
  <c r="R42" i="3" s="1"/>
  <c r="P13" i="9"/>
  <c r="O46" i="3" s="1"/>
  <c r="L13" i="9"/>
  <c r="K46" i="3" s="1"/>
  <c r="P9" i="8"/>
  <c r="O32" i="3" s="1"/>
  <c r="L9" i="8"/>
  <c r="K32" i="3" s="1"/>
  <c r="C21" i="52"/>
  <c r="J19" i="52"/>
  <c r="Q141" i="52"/>
  <c r="H55" i="52"/>
  <c r="M143" i="3" l="1"/>
  <c r="N9" i="40"/>
  <c r="M132" i="3" s="1"/>
  <c r="I9" i="40"/>
  <c r="H132" i="3" s="1"/>
  <c r="O9" i="40"/>
  <c r="N132" i="3" s="1"/>
  <c r="R40" i="3"/>
  <c r="J38" i="52"/>
  <c r="O40" i="3"/>
  <c r="G12" i="38"/>
  <c r="F109" i="3" s="1"/>
  <c r="K9" i="24"/>
  <c r="J145" i="3" s="1"/>
  <c r="N40" i="3"/>
  <c r="M96" i="3"/>
  <c r="Q37" i="52"/>
  <c r="O143" i="3"/>
  <c r="G33" i="37"/>
  <c r="U9" i="37" s="1"/>
  <c r="T102" i="3" s="1"/>
  <c r="G9" i="13"/>
  <c r="N9" i="13"/>
  <c r="M76" i="3" s="1"/>
  <c r="J9" i="40"/>
  <c r="I132" i="3" s="1"/>
  <c r="P9" i="40"/>
  <c r="O132" i="3" s="1"/>
  <c r="L96" i="3"/>
  <c r="G10" i="2"/>
  <c r="H96" i="3"/>
  <c r="M9" i="40"/>
  <c r="L132" i="3" s="1"/>
  <c r="S9" i="40"/>
  <c r="R132" i="3" s="1"/>
  <c r="E39" i="59"/>
  <c r="V9" i="40"/>
  <c r="U132" i="3" s="1"/>
  <c r="Q9" i="40"/>
  <c r="P132" i="3" s="1"/>
  <c r="P130" i="3" s="1"/>
  <c r="L9" i="40"/>
  <c r="K132" i="3" s="1"/>
  <c r="K9" i="40"/>
  <c r="J132" i="3" s="1"/>
  <c r="F8" i="36"/>
  <c r="G8" i="36"/>
  <c r="F97" i="3" s="1"/>
  <c r="E9" i="2"/>
  <c r="F9" i="2"/>
  <c r="J8" i="41"/>
  <c r="I139" i="3" s="1"/>
  <c r="N8" i="41"/>
  <c r="M139" i="3" s="1"/>
  <c r="K8" i="41"/>
  <c r="J139" i="3" s="1"/>
  <c r="O8" i="41"/>
  <c r="N139" i="3" s="1"/>
  <c r="L8" i="41"/>
  <c r="K139" i="3" s="1"/>
  <c r="P8" i="41"/>
  <c r="O139" i="3" s="1"/>
  <c r="I8" i="41"/>
  <c r="H139" i="3" s="1"/>
  <c r="M8" i="41"/>
  <c r="L139" i="3" s="1"/>
  <c r="H8" i="41"/>
  <c r="G139" i="3" s="1"/>
  <c r="E98" i="3"/>
  <c r="K152" i="3"/>
  <c r="C46" i="52"/>
  <c r="D46" i="52" s="1"/>
  <c r="Y46" i="52" s="1"/>
  <c r="E46" i="3"/>
  <c r="W13" i="9"/>
  <c r="G8" i="9"/>
  <c r="H8" i="9"/>
  <c r="G41" i="3" s="1"/>
  <c r="G8" i="25"/>
  <c r="I8" i="25"/>
  <c r="H148" i="3" s="1"/>
  <c r="J8" i="25"/>
  <c r="I148" i="3" s="1"/>
  <c r="H8" i="25"/>
  <c r="G148" i="3" s="1"/>
  <c r="G8" i="27"/>
  <c r="F156" i="3" s="1"/>
  <c r="H8" i="27"/>
  <c r="G156" i="3" s="1"/>
  <c r="J150" i="52" s="1"/>
  <c r="F8" i="27"/>
  <c r="E156" i="3" s="1"/>
  <c r="N123" i="3"/>
  <c r="N30" i="3"/>
  <c r="N11" i="40"/>
  <c r="J11" i="40"/>
  <c r="I134" i="3" s="1"/>
  <c r="I11" i="40"/>
  <c r="H134" i="3" s="1"/>
  <c r="L123" i="3"/>
  <c r="E158" i="59"/>
  <c r="F159" i="3"/>
  <c r="F10" i="3"/>
  <c r="I48" i="3"/>
  <c r="E101" i="59"/>
  <c r="J143" i="3"/>
  <c r="Q117" i="3"/>
  <c r="E118" i="59"/>
  <c r="L16" i="3"/>
  <c r="K16" i="3"/>
  <c r="J16" i="3"/>
  <c r="M16" i="3"/>
  <c r="E91" i="59"/>
  <c r="P90" i="3"/>
  <c r="S123" i="3"/>
  <c r="E81" i="59"/>
  <c r="P80" i="3"/>
  <c r="C81" i="59"/>
  <c r="G24" i="2"/>
  <c r="E8" i="2" s="1"/>
  <c r="E58" i="59"/>
  <c r="C89" i="59"/>
  <c r="O117" i="3"/>
  <c r="R124" i="3"/>
  <c r="Q20" i="3"/>
  <c r="E21" i="59"/>
  <c r="E36" i="59"/>
  <c r="V61" i="3"/>
  <c r="C61" i="59"/>
  <c r="D61" i="59"/>
  <c r="F76" i="3"/>
  <c r="C133" i="59"/>
  <c r="W10" i="9"/>
  <c r="O79" i="3"/>
  <c r="E159" i="59"/>
  <c r="W10" i="24"/>
  <c r="H146" i="3"/>
  <c r="J140" i="52" s="1"/>
  <c r="K140" i="52" s="1"/>
  <c r="Y140" i="52" s="1"/>
  <c r="F8" i="8"/>
  <c r="E31" i="3" s="1"/>
  <c r="E8" i="8"/>
  <c r="D52" i="59"/>
  <c r="L48" i="3"/>
  <c r="H14" i="9"/>
  <c r="G47" i="3" s="1"/>
  <c r="G14" i="9"/>
  <c r="D59" i="59"/>
  <c r="E146" i="59"/>
  <c r="F150" i="3"/>
  <c r="W10" i="25"/>
  <c r="L147" i="3"/>
  <c r="N147" i="3"/>
  <c r="E27" i="59"/>
  <c r="E26" i="3"/>
  <c r="V122" i="3"/>
  <c r="C122" i="59"/>
  <c r="Q75" i="52"/>
  <c r="D46" i="59"/>
  <c r="E32" i="59"/>
  <c r="S8" i="8"/>
  <c r="R31" i="3" s="1"/>
  <c r="O12" i="38"/>
  <c r="N109" i="3" s="1"/>
  <c r="Q123" i="3"/>
  <c r="J14" i="9"/>
  <c r="I47" i="3" s="1"/>
  <c r="V108" i="3"/>
  <c r="C108" i="59"/>
  <c r="F12" i="2"/>
  <c r="J9" i="24"/>
  <c r="I145" i="3" s="1"/>
  <c r="H27" i="31"/>
  <c r="J8" i="31" s="1"/>
  <c r="I7" i="3" s="1"/>
  <c r="E42" i="59"/>
  <c r="P40" i="3"/>
  <c r="D123" i="3"/>
  <c r="C124" i="59"/>
  <c r="J11" i="27"/>
  <c r="I159" i="3" s="1"/>
  <c r="H11" i="27"/>
  <c r="G159" i="3" s="1"/>
  <c r="I11" i="27"/>
  <c r="H159" i="3" s="1"/>
  <c r="K11" i="27"/>
  <c r="J159" i="3" s="1"/>
  <c r="M117" i="3"/>
  <c r="H16" i="3"/>
  <c r="I16" i="3"/>
  <c r="D37" i="59"/>
  <c r="G54" i="40"/>
  <c r="G12" i="40" s="1"/>
  <c r="G10" i="11"/>
  <c r="F63" i="3" s="1"/>
  <c r="D56" i="59"/>
  <c r="M79" i="3"/>
  <c r="F58" i="3"/>
  <c r="W10" i="12"/>
  <c r="T96" i="3"/>
  <c r="D124" i="59"/>
  <c r="E144" i="59"/>
  <c r="P143" i="3"/>
  <c r="R20" i="3"/>
  <c r="I9" i="37"/>
  <c r="H102" i="3" s="1"/>
  <c r="V9" i="37"/>
  <c r="U102" i="3" s="1"/>
  <c r="H9" i="37"/>
  <c r="J9" i="37"/>
  <c r="E9" i="37"/>
  <c r="H40" i="3"/>
  <c r="E43" i="59"/>
  <c r="E61" i="59"/>
  <c r="F15" i="3"/>
  <c r="M9" i="13"/>
  <c r="L76" i="3" s="1"/>
  <c r="L9" i="13"/>
  <c r="K76" i="3" s="1"/>
  <c r="E120" i="59"/>
  <c r="P117" i="3"/>
  <c r="E65" i="59"/>
  <c r="I11" i="25"/>
  <c r="H151" i="3" s="1"/>
  <c r="H11" i="25"/>
  <c r="G151" i="3" s="1"/>
  <c r="J11" i="25"/>
  <c r="I151" i="3" s="1"/>
  <c r="U79" i="3"/>
  <c r="H11" i="58"/>
  <c r="G71" i="3" s="1"/>
  <c r="L11" i="58"/>
  <c r="K71" i="3" s="1"/>
  <c r="P11" i="58"/>
  <c r="O71" i="3" s="1"/>
  <c r="T11" i="58"/>
  <c r="S71" i="3" s="1"/>
  <c r="Q11" i="58"/>
  <c r="P71" i="3" s="1"/>
  <c r="F11" i="58"/>
  <c r="E71" i="3" s="1"/>
  <c r="J11" i="58"/>
  <c r="I71" i="3" s="1"/>
  <c r="N11" i="58"/>
  <c r="M71" i="3" s="1"/>
  <c r="R11" i="58"/>
  <c r="Q71" i="3" s="1"/>
  <c r="V11" i="58"/>
  <c r="U71" i="3" s="1"/>
  <c r="G11" i="58"/>
  <c r="F71" i="3" s="1"/>
  <c r="K11" i="58"/>
  <c r="J71" i="3" s="1"/>
  <c r="O11" i="58"/>
  <c r="N71" i="3" s="1"/>
  <c r="S11" i="58"/>
  <c r="R71" i="3" s="1"/>
  <c r="E11" i="58"/>
  <c r="I11" i="58"/>
  <c r="H71" i="3" s="1"/>
  <c r="M11" i="58"/>
  <c r="L71" i="3" s="1"/>
  <c r="U11" i="58"/>
  <c r="T71" i="3" s="1"/>
  <c r="C37" i="59"/>
  <c r="V37" i="3"/>
  <c r="E52" i="3"/>
  <c r="W11" i="10"/>
  <c r="H48" i="3"/>
  <c r="D59" i="3"/>
  <c r="W11" i="12"/>
  <c r="F77" i="3"/>
  <c r="W10" i="13"/>
  <c r="R79" i="3"/>
  <c r="J147" i="3"/>
  <c r="N79" i="3"/>
  <c r="I117" i="3"/>
  <c r="D118" i="59"/>
  <c r="T123" i="3"/>
  <c r="C63" i="59"/>
  <c r="O123" i="3"/>
  <c r="U123" i="3"/>
  <c r="K13" i="40"/>
  <c r="J136" i="3" s="1"/>
  <c r="O13" i="40"/>
  <c r="N136" i="3" s="1"/>
  <c r="S13" i="40"/>
  <c r="R136" i="3" s="1"/>
  <c r="H13" i="40"/>
  <c r="G136" i="3" s="1"/>
  <c r="P13" i="40"/>
  <c r="O136" i="3" s="1"/>
  <c r="I13" i="40"/>
  <c r="H136" i="3" s="1"/>
  <c r="M13" i="40"/>
  <c r="L136" i="3" s="1"/>
  <c r="Q13" i="40"/>
  <c r="P136" i="3" s="1"/>
  <c r="U13" i="40"/>
  <c r="T136" i="3" s="1"/>
  <c r="J13" i="40"/>
  <c r="I136" i="3" s="1"/>
  <c r="N13" i="40"/>
  <c r="M136" i="3" s="1"/>
  <c r="R13" i="40"/>
  <c r="Q136" i="3" s="1"/>
  <c r="V13" i="40"/>
  <c r="U136" i="3" s="1"/>
  <c r="L13" i="40"/>
  <c r="K136" i="3" s="1"/>
  <c r="T13" i="40"/>
  <c r="S136" i="3" s="1"/>
  <c r="P30" i="3"/>
  <c r="H153" i="3"/>
  <c r="I123" i="3"/>
  <c r="E38" i="3"/>
  <c r="W15" i="8"/>
  <c r="T16" i="3"/>
  <c r="S16" i="3"/>
  <c r="R16" i="3"/>
  <c r="U16" i="3"/>
  <c r="E8" i="37"/>
  <c r="F8" i="37"/>
  <c r="E101" i="3" s="1"/>
  <c r="S79" i="3"/>
  <c r="G14" i="40"/>
  <c r="F137" i="3" s="1"/>
  <c r="K14" i="40"/>
  <c r="J137" i="3" s="1"/>
  <c r="O14" i="40"/>
  <c r="N137" i="3" s="1"/>
  <c r="S14" i="40"/>
  <c r="R137" i="3" s="1"/>
  <c r="P14" i="40"/>
  <c r="O137" i="3" s="1"/>
  <c r="I14" i="40"/>
  <c r="H137" i="3" s="1"/>
  <c r="M14" i="40"/>
  <c r="L137" i="3" s="1"/>
  <c r="Q14" i="40"/>
  <c r="P137" i="3" s="1"/>
  <c r="U14" i="40"/>
  <c r="T137" i="3" s="1"/>
  <c r="J14" i="40"/>
  <c r="I137" i="3" s="1"/>
  <c r="N14" i="40"/>
  <c r="M137" i="3" s="1"/>
  <c r="R14" i="40"/>
  <c r="Q137" i="3" s="1"/>
  <c r="V14" i="40"/>
  <c r="U137" i="3" s="1"/>
  <c r="L14" i="40"/>
  <c r="K137" i="3" s="1"/>
  <c r="T14" i="40"/>
  <c r="S137" i="3" s="1"/>
  <c r="U20" i="3"/>
  <c r="S20" i="3"/>
  <c r="F104" i="3"/>
  <c r="E32" i="3"/>
  <c r="W9" i="8"/>
  <c r="E46" i="59"/>
  <c r="J40" i="3"/>
  <c r="V56" i="3"/>
  <c r="C56" i="59"/>
  <c r="N60" i="3"/>
  <c r="L116" i="3"/>
  <c r="J123" i="3"/>
  <c r="E11" i="3"/>
  <c r="F53" i="3"/>
  <c r="W12" i="10"/>
  <c r="D44" i="59"/>
  <c r="V44" i="3"/>
  <c r="W14" i="8"/>
  <c r="J48" i="3"/>
  <c r="K147" i="3"/>
  <c r="M147" i="3"/>
  <c r="H11" i="13"/>
  <c r="G78" i="3" s="1"/>
  <c r="L11" i="13"/>
  <c r="K78" i="3" s="1"/>
  <c r="P11" i="13"/>
  <c r="O78" i="3" s="1"/>
  <c r="I11" i="13"/>
  <c r="H78" i="3" s="1"/>
  <c r="M11" i="13"/>
  <c r="L78" i="3" s="1"/>
  <c r="G11" i="13"/>
  <c r="J11" i="13"/>
  <c r="I78" i="3" s="1"/>
  <c r="N11" i="13"/>
  <c r="M78" i="3" s="1"/>
  <c r="K11" i="13"/>
  <c r="J78" i="3" s="1"/>
  <c r="O11" i="13"/>
  <c r="N78" i="3" s="1"/>
  <c r="D122" i="59"/>
  <c r="Q21" i="52"/>
  <c r="M40" i="3"/>
  <c r="Q61" i="52"/>
  <c r="D32" i="59"/>
  <c r="Q35" i="52"/>
  <c r="Q43" i="52"/>
  <c r="R96" i="3"/>
  <c r="S116" i="3"/>
  <c r="P12" i="38"/>
  <c r="O109" i="3" s="1"/>
  <c r="K123" i="3"/>
  <c r="E138" i="3"/>
  <c r="E125" i="59"/>
  <c r="P123" i="3"/>
  <c r="Q138" i="52"/>
  <c r="C141" i="59"/>
  <c r="C138" i="3"/>
  <c r="V141" i="3"/>
  <c r="E153" i="59"/>
  <c r="P152" i="3"/>
  <c r="M123" i="3"/>
  <c r="L40" i="3"/>
  <c r="E99" i="59"/>
  <c r="G144" i="3"/>
  <c r="U117" i="3"/>
  <c r="P16" i="3"/>
  <c r="E18" i="59"/>
  <c r="O16" i="3"/>
  <c r="N16" i="3"/>
  <c r="Q16" i="3"/>
  <c r="E98" i="59"/>
  <c r="Q96" i="3"/>
  <c r="H38" i="31"/>
  <c r="H9" i="31" s="1"/>
  <c r="G8" i="3" s="1"/>
  <c r="F9" i="3"/>
  <c r="E37" i="59"/>
  <c r="E36" i="3"/>
  <c r="E35" i="59"/>
  <c r="W12" i="8"/>
  <c r="H35" i="3"/>
  <c r="I9" i="27"/>
  <c r="H157" i="3" s="1"/>
  <c r="M9" i="27"/>
  <c r="L157" i="3" s="1"/>
  <c r="Q9" i="27"/>
  <c r="P157" i="3" s="1"/>
  <c r="U9" i="27"/>
  <c r="T157" i="3" s="1"/>
  <c r="K9" i="27"/>
  <c r="J157" i="3" s="1"/>
  <c r="O9" i="27"/>
  <c r="N157" i="3" s="1"/>
  <c r="S9" i="27"/>
  <c r="R157" i="3" s="1"/>
  <c r="G9" i="27"/>
  <c r="L9" i="27"/>
  <c r="K157" i="3" s="1"/>
  <c r="T9" i="27"/>
  <c r="S157" i="3" s="1"/>
  <c r="P9" i="27"/>
  <c r="O157" i="3" s="1"/>
  <c r="J9" i="27"/>
  <c r="I157" i="3" s="1"/>
  <c r="R9" i="27"/>
  <c r="Q157" i="3" s="1"/>
  <c r="N9" i="27"/>
  <c r="M157" i="3" s="1"/>
  <c r="V9" i="27"/>
  <c r="U157" i="3" s="1"/>
  <c r="H9" i="27"/>
  <c r="G157" i="3" s="1"/>
  <c r="J9" i="13"/>
  <c r="I76" i="3" s="1"/>
  <c r="P9" i="13"/>
  <c r="O76" i="3" s="1"/>
  <c r="F39" i="3"/>
  <c r="W16" i="8"/>
  <c r="D43" i="59"/>
  <c r="V43" i="3"/>
  <c r="D65" i="59"/>
  <c r="W11" i="9"/>
  <c r="N11" i="11"/>
  <c r="M64" i="3" s="1"/>
  <c r="U11" i="11"/>
  <c r="T64" i="3" s="1"/>
  <c r="S11" i="11"/>
  <c r="R64" i="3" s="1"/>
  <c r="L11" i="11"/>
  <c r="K64" i="3" s="1"/>
  <c r="F11" i="11"/>
  <c r="E64" i="3" s="1"/>
  <c r="V11" i="11"/>
  <c r="U64" i="3" s="1"/>
  <c r="K11" i="11"/>
  <c r="J64" i="3" s="1"/>
  <c r="Q11" i="11"/>
  <c r="P64" i="3" s="1"/>
  <c r="T11" i="11"/>
  <c r="S64" i="3" s="1"/>
  <c r="J11" i="11"/>
  <c r="I64" i="3" s="1"/>
  <c r="I11" i="11"/>
  <c r="H64" i="3" s="1"/>
  <c r="O11" i="11"/>
  <c r="N64" i="3" s="1"/>
  <c r="H11" i="11"/>
  <c r="G64" i="3" s="1"/>
  <c r="M11" i="11"/>
  <c r="L64" i="3" s="1"/>
  <c r="R11" i="11"/>
  <c r="Q64" i="3" s="1"/>
  <c r="G11" i="11"/>
  <c r="F64" i="3" s="1"/>
  <c r="E11" i="11"/>
  <c r="P11" i="11"/>
  <c r="O64" i="3" s="1"/>
  <c r="N48" i="3"/>
  <c r="O147" i="3"/>
  <c r="H10" i="27"/>
  <c r="G158" i="3" s="1"/>
  <c r="I10" i="27"/>
  <c r="H158" i="3" s="1"/>
  <c r="D26" i="3"/>
  <c r="C27" i="59"/>
  <c r="V27" i="3"/>
  <c r="D27" i="59"/>
  <c r="K79" i="3"/>
  <c r="Q79" i="52"/>
  <c r="F110" i="3"/>
  <c r="K9" i="35"/>
  <c r="J28" i="3" s="1"/>
  <c r="O9" i="35"/>
  <c r="N28" i="3" s="1"/>
  <c r="S9" i="35"/>
  <c r="R28" i="3" s="1"/>
  <c r="J9" i="35"/>
  <c r="I28" i="3" s="1"/>
  <c r="L9" i="35"/>
  <c r="K28" i="3" s="1"/>
  <c r="P9" i="35"/>
  <c r="O28" i="3" s="1"/>
  <c r="T9" i="35"/>
  <c r="S28" i="3" s="1"/>
  <c r="M9" i="35"/>
  <c r="L28" i="3" s="1"/>
  <c r="Q9" i="35"/>
  <c r="P28" i="3" s="1"/>
  <c r="U9" i="35"/>
  <c r="T28" i="3" s="1"/>
  <c r="N9" i="35"/>
  <c r="M28" i="3" s="1"/>
  <c r="R9" i="35"/>
  <c r="Q28" i="3" s="1"/>
  <c r="V9" i="35"/>
  <c r="U28" i="3" s="1"/>
  <c r="W10" i="41"/>
  <c r="R9" i="40"/>
  <c r="Q132" i="3" s="1"/>
  <c r="U9" i="40"/>
  <c r="T132" i="3" s="1"/>
  <c r="T9" i="40"/>
  <c r="S132" i="3" s="1"/>
  <c r="E9" i="40"/>
  <c r="G10" i="40"/>
  <c r="F133" i="3" s="1"/>
  <c r="H10" i="40"/>
  <c r="H14" i="40"/>
  <c r="W8" i="21"/>
  <c r="H11" i="21"/>
  <c r="G127" i="3" s="1"/>
  <c r="I11" i="21"/>
  <c r="H127" i="3" s="1"/>
  <c r="G11" i="21"/>
  <c r="F127" i="3" s="1"/>
  <c r="I10" i="21"/>
  <c r="H126" i="3" s="1"/>
  <c r="H10" i="21"/>
  <c r="G126" i="3" s="1"/>
  <c r="I10" i="20"/>
  <c r="H120" i="3" s="1"/>
  <c r="H10" i="20"/>
  <c r="G120" i="3" s="1"/>
  <c r="G10" i="20"/>
  <c r="F120" i="3" s="1"/>
  <c r="E10" i="20"/>
  <c r="D120" i="3" s="1"/>
  <c r="F10" i="20"/>
  <c r="E120" i="3" s="1"/>
  <c r="U11" i="20"/>
  <c r="T121" i="3" s="1"/>
  <c r="P11" i="20"/>
  <c r="O121" i="3" s="1"/>
  <c r="K11" i="20"/>
  <c r="J121" i="3" s="1"/>
  <c r="J117" i="3" s="1"/>
  <c r="E9" i="20"/>
  <c r="L9" i="39"/>
  <c r="K112" i="3" s="1"/>
  <c r="I8" i="13"/>
  <c r="H75" i="3" s="1"/>
  <c r="G8" i="13"/>
  <c r="H8" i="13"/>
  <c r="G75" i="3" s="1"/>
  <c r="G11" i="25"/>
  <c r="G9" i="25"/>
  <c r="W8" i="11"/>
  <c r="I10" i="11"/>
  <c r="H63" i="3" s="1"/>
  <c r="F9" i="11"/>
  <c r="E62" i="3" s="1"/>
  <c r="J9" i="11"/>
  <c r="I62" i="3" s="1"/>
  <c r="N9" i="11"/>
  <c r="M62" i="3" s="1"/>
  <c r="R9" i="11"/>
  <c r="Q62" i="3" s="1"/>
  <c r="V9" i="11"/>
  <c r="U62" i="3" s="1"/>
  <c r="M9" i="11"/>
  <c r="L62" i="3" s="1"/>
  <c r="U9" i="11"/>
  <c r="T62" i="3" s="1"/>
  <c r="G9" i="11"/>
  <c r="F62" i="3" s="1"/>
  <c r="F60" i="3" s="1"/>
  <c r="K9" i="11"/>
  <c r="J62" i="3" s="1"/>
  <c r="O9" i="11"/>
  <c r="N62" i="3" s="1"/>
  <c r="S9" i="11"/>
  <c r="R62" i="3" s="1"/>
  <c r="E9" i="11"/>
  <c r="D62" i="3" s="1"/>
  <c r="Q9" i="11"/>
  <c r="P62" i="3" s="1"/>
  <c r="H9" i="11"/>
  <c r="G62" i="3" s="1"/>
  <c r="L9" i="11"/>
  <c r="K62" i="3" s="1"/>
  <c r="P9" i="11"/>
  <c r="O62" i="3" s="1"/>
  <c r="T9" i="11"/>
  <c r="S62" i="3" s="1"/>
  <c r="I9" i="11"/>
  <c r="H62" i="3" s="1"/>
  <c r="H10" i="11"/>
  <c r="G63" i="3" s="1"/>
  <c r="H25" i="12"/>
  <c r="W8" i="12"/>
  <c r="F10" i="10"/>
  <c r="H9" i="9"/>
  <c r="G42" i="3" s="1"/>
  <c r="G9" i="9"/>
  <c r="H12" i="9"/>
  <c r="G45" i="3" s="1"/>
  <c r="H13" i="8"/>
  <c r="G36" i="3" s="1"/>
  <c r="G13" i="8"/>
  <c r="F36" i="3" s="1"/>
  <c r="H11" i="8"/>
  <c r="G34" i="3" s="1"/>
  <c r="R10" i="8"/>
  <c r="Q33" i="3" s="1"/>
  <c r="H10" i="8"/>
  <c r="G33" i="3" s="1"/>
  <c r="R11" i="8"/>
  <c r="Q34" i="3" s="1"/>
  <c r="V8" i="8"/>
  <c r="U31" i="3" s="1"/>
  <c r="U8" i="8"/>
  <c r="T31" i="3" s="1"/>
  <c r="H8" i="8"/>
  <c r="G31" i="3" s="1"/>
  <c r="I8" i="8"/>
  <c r="H31" i="3" s="1"/>
  <c r="T8" i="8"/>
  <c r="S31" i="3" s="1"/>
  <c r="L8" i="8"/>
  <c r="K31" i="3" s="1"/>
  <c r="R10" i="39"/>
  <c r="Q113" i="3" s="1"/>
  <c r="W11" i="38"/>
  <c r="H22" i="38"/>
  <c r="E8" i="38" s="1"/>
  <c r="D105" i="3" s="1"/>
  <c r="F12" i="38"/>
  <c r="E109" i="3" s="1"/>
  <c r="K12" i="38"/>
  <c r="J109" i="3" s="1"/>
  <c r="L12" i="38"/>
  <c r="K109" i="3" s="1"/>
  <c r="M12" i="38"/>
  <c r="L109" i="3" s="1"/>
  <c r="I10" i="38"/>
  <c r="E12" i="38"/>
  <c r="D109" i="3" s="1"/>
  <c r="N12" i="38"/>
  <c r="M109" i="3" s="1"/>
  <c r="H101" i="3"/>
  <c r="G8" i="37"/>
  <c r="F101" i="3" s="1"/>
  <c r="G9" i="36"/>
  <c r="F98" i="3" s="1"/>
  <c r="I8" i="34"/>
  <c r="H21" i="3" s="1"/>
  <c r="H8" i="34"/>
  <c r="G21" i="3" s="1"/>
  <c r="H11" i="34"/>
  <c r="G24" i="3" s="1"/>
  <c r="U11" i="34"/>
  <c r="T24" i="3" s="1"/>
  <c r="J9" i="34"/>
  <c r="I22" i="3" s="1"/>
  <c r="I9" i="34"/>
  <c r="H22" i="3" s="1"/>
  <c r="Q18" i="52"/>
  <c r="Q16" i="52" s="1"/>
  <c r="F18" i="3"/>
  <c r="L10" i="34"/>
  <c r="K23" i="3" s="1"/>
  <c r="M10" i="34"/>
  <c r="L23" i="3" s="1"/>
  <c r="H10" i="34"/>
  <c r="G23" i="3" s="1"/>
  <c r="G8" i="8"/>
  <c r="F31" i="3" s="1"/>
  <c r="J8" i="8"/>
  <c r="I31" i="3" s="1"/>
  <c r="M8" i="8"/>
  <c r="L31" i="3" s="1"/>
  <c r="P8" i="8"/>
  <c r="O31" i="3" s="1"/>
  <c r="H9" i="34"/>
  <c r="G22" i="3" s="1"/>
  <c r="Q9" i="38"/>
  <c r="P106" i="3" s="1"/>
  <c r="H9" i="26"/>
  <c r="G154" i="3" s="1"/>
  <c r="H9" i="35"/>
  <c r="G28" i="3" s="1"/>
  <c r="G9" i="35"/>
  <c r="H8" i="33"/>
  <c r="G17" i="3" s="1"/>
  <c r="G8" i="33"/>
  <c r="K8" i="8"/>
  <c r="J31" i="3" s="1"/>
  <c r="N8" i="8"/>
  <c r="M31" i="3" s="1"/>
  <c r="R8" i="8"/>
  <c r="Q31" i="3" s="1"/>
  <c r="Q31" i="52" s="1"/>
  <c r="K12" i="34"/>
  <c r="J25" i="3" s="1"/>
  <c r="C68" i="52"/>
  <c r="C137" i="52"/>
  <c r="Q68" i="52"/>
  <c r="I9" i="32"/>
  <c r="H14" i="3" s="1"/>
  <c r="H10" i="32"/>
  <c r="G15" i="3" s="1"/>
  <c r="I10" i="32"/>
  <c r="H15" i="3" s="1"/>
  <c r="F8" i="32"/>
  <c r="N8" i="31"/>
  <c r="M7" i="3" s="1"/>
  <c r="R8" i="31"/>
  <c r="Q7" i="3" s="1"/>
  <c r="V8" i="31"/>
  <c r="U7" i="3" s="1"/>
  <c r="U8" i="31"/>
  <c r="T7" i="3" s="1"/>
  <c r="G8" i="31"/>
  <c r="F7" i="3" s="1"/>
  <c r="K8" i="31"/>
  <c r="J7" i="3" s="1"/>
  <c r="S8" i="31"/>
  <c r="R7" i="3" s="1"/>
  <c r="I8" i="31"/>
  <c r="H7" i="3" s="1"/>
  <c r="H8" i="31"/>
  <c r="G7" i="3" s="1"/>
  <c r="L8" i="31"/>
  <c r="K7" i="3" s="1"/>
  <c r="P8" i="31"/>
  <c r="O7" i="3" s="1"/>
  <c r="I9" i="31"/>
  <c r="H8" i="3" s="1"/>
  <c r="M9" i="31"/>
  <c r="L8" i="3" s="1"/>
  <c r="E9" i="31"/>
  <c r="P9" i="31"/>
  <c r="O8" i="3" s="1"/>
  <c r="F9" i="31"/>
  <c r="E8" i="3" s="1"/>
  <c r="J9" i="31"/>
  <c r="I8" i="3" s="1"/>
  <c r="L9" i="31"/>
  <c r="K8" i="3" s="1"/>
  <c r="G9" i="31"/>
  <c r="F8" i="3" s="1"/>
  <c r="K9" i="31"/>
  <c r="J8" i="3" s="1"/>
  <c r="H11" i="42"/>
  <c r="G84" i="3" s="1"/>
  <c r="G11" i="42"/>
  <c r="G14" i="42"/>
  <c r="H13" i="42"/>
  <c r="G86" i="3" s="1"/>
  <c r="G13" i="42"/>
  <c r="F86" i="3" s="1"/>
  <c r="F13" i="42"/>
  <c r="E86" i="3" s="1"/>
  <c r="H12" i="42"/>
  <c r="N10" i="39"/>
  <c r="M113" i="3" s="1"/>
  <c r="H15" i="42"/>
  <c r="G88" i="3" s="1"/>
  <c r="G8" i="42"/>
  <c r="F81" i="3" s="1"/>
  <c r="I9" i="35"/>
  <c r="H28" i="3" s="1"/>
  <c r="E9" i="33"/>
  <c r="D18" i="3" s="1"/>
  <c r="F9" i="33"/>
  <c r="E18" i="3" s="1"/>
  <c r="G10" i="36"/>
  <c r="F99" i="3" s="1"/>
  <c r="F10" i="36"/>
  <c r="N10" i="34"/>
  <c r="M23" i="3" s="1"/>
  <c r="F12" i="9"/>
  <c r="H9" i="38"/>
  <c r="G106" i="3" s="1"/>
  <c r="D106" i="59" s="1"/>
  <c r="I8" i="24"/>
  <c r="H144" i="3" s="1"/>
  <c r="H8" i="32"/>
  <c r="G13" i="3" s="1"/>
  <c r="I10" i="34"/>
  <c r="H23" i="3" s="1"/>
  <c r="J10" i="34"/>
  <c r="I23" i="3" s="1"/>
  <c r="P10" i="34"/>
  <c r="O23" i="3" s="1"/>
  <c r="K10" i="34"/>
  <c r="J23" i="3" s="1"/>
  <c r="T12" i="9"/>
  <c r="S45" i="3" s="1"/>
  <c r="Q45" i="52" s="1"/>
  <c r="H10" i="10"/>
  <c r="G51" i="3" s="1"/>
  <c r="G8" i="34"/>
  <c r="H10" i="42"/>
  <c r="P9" i="38"/>
  <c r="O106" i="3" s="1"/>
  <c r="I9" i="39"/>
  <c r="H112" i="3" s="1"/>
  <c r="O10" i="34"/>
  <c r="N23" i="3" s="1"/>
  <c r="Q10" i="34"/>
  <c r="P23" i="3" s="1"/>
  <c r="L12" i="9"/>
  <c r="K45" i="3" s="1"/>
  <c r="G9" i="32"/>
  <c r="E10" i="2"/>
  <c r="Q10" i="39"/>
  <c r="P113" i="3" s="1"/>
  <c r="H8" i="43"/>
  <c r="G91" i="3" s="1"/>
  <c r="G8" i="43"/>
  <c r="F91" i="3" s="1"/>
  <c r="I8" i="43"/>
  <c r="H91" i="3" s="1"/>
  <c r="I9" i="43"/>
  <c r="H92" i="3" s="1"/>
  <c r="J9" i="43"/>
  <c r="I92" i="3" s="1"/>
  <c r="K9" i="43"/>
  <c r="J92" i="3" s="1"/>
  <c r="U9" i="43"/>
  <c r="T92" i="3" s="1"/>
  <c r="H9" i="43"/>
  <c r="G92" i="3" s="1"/>
  <c r="I10" i="43"/>
  <c r="H93" i="3" s="1"/>
  <c r="U10" i="43"/>
  <c r="T93" i="3" s="1"/>
  <c r="K10" i="43"/>
  <c r="J93" i="3" s="1"/>
  <c r="J10" i="43"/>
  <c r="I93" i="3" s="1"/>
  <c r="H10" i="43"/>
  <c r="G93" i="3" s="1"/>
  <c r="I11" i="43"/>
  <c r="H94" i="3" s="1"/>
  <c r="K11" i="43"/>
  <c r="J94" i="3" s="1"/>
  <c r="U11" i="43"/>
  <c r="T94" i="3" s="1"/>
  <c r="H11" i="43"/>
  <c r="G94" i="3" s="1"/>
  <c r="J11" i="43"/>
  <c r="I94" i="3" s="1"/>
  <c r="C20" i="52"/>
  <c r="H10" i="39"/>
  <c r="G113" i="3" s="1"/>
  <c r="Q95" i="52"/>
  <c r="O10" i="39"/>
  <c r="N113" i="3" s="1"/>
  <c r="M10" i="39"/>
  <c r="L113" i="3" s="1"/>
  <c r="J10" i="39"/>
  <c r="I113" i="3" s="1"/>
  <c r="L10" i="39"/>
  <c r="K113" i="3" s="1"/>
  <c r="I10" i="39"/>
  <c r="H113" i="3" s="1"/>
  <c r="P10" i="39"/>
  <c r="O113" i="3" s="1"/>
  <c r="K10" i="39"/>
  <c r="J113" i="3" s="1"/>
  <c r="E10" i="33"/>
  <c r="F10" i="33"/>
  <c r="E19" i="3" s="1"/>
  <c r="G9" i="42"/>
  <c r="F82" i="3" s="1"/>
  <c r="M9" i="42"/>
  <c r="L82" i="3" s="1"/>
  <c r="H9" i="42"/>
  <c r="G82" i="3" s="1"/>
  <c r="R9" i="42"/>
  <c r="Q82" i="3" s="1"/>
  <c r="Q39" i="52"/>
  <c r="J58" i="52"/>
  <c r="I11" i="34"/>
  <c r="H24" i="3" s="1"/>
  <c r="W8" i="35"/>
  <c r="G9" i="2"/>
  <c r="J9" i="26"/>
  <c r="I154" i="3" s="1"/>
  <c r="K9" i="26"/>
  <c r="J154" i="3" s="1"/>
  <c r="O9" i="39"/>
  <c r="N112" i="3" s="1"/>
  <c r="H9" i="39"/>
  <c r="G112" i="3" s="1"/>
  <c r="H9" i="25"/>
  <c r="G149" i="3" s="1"/>
  <c r="J9" i="25"/>
  <c r="I149" i="3" s="1"/>
  <c r="Q46" i="52"/>
  <c r="Q36" i="52"/>
  <c r="Q11" i="34"/>
  <c r="P24" i="3" s="1"/>
  <c r="J12" i="34"/>
  <c r="I25" i="3" s="1"/>
  <c r="G10" i="8"/>
  <c r="G15" i="42"/>
  <c r="F88" i="3" s="1"/>
  <c r="Q116" i="52"/>
  <c r="X116" i="52" s="1"/>
  <c r="I9" i="26"/>
  <c r="H154" i="3" s="1"/>
  <c r="R9" i="39"/>
  <c r="Q112" i="3" s="1"/>
  <c r="N9" i="39"/>
  <c r="M112" i="3" s="1"/>
  <c r="Q9" i="39"/>
  <c r="P112" i="3" s="1"/>
  <c r="J8" i="26"/>
  <c r="I153" i="3" s="1"/>
  <c r="E12" i="2"/>
  <c r="Q48" i="52"/>
  <c r="M11" i="34"/>
  <c r="L24" i="3" s="1"/>
  <c r="K9" i="39"/>
  <c r="J112" i="3" s="1"/>
  <c r="P9" i="39"/>
  <c r="O112" i="3" s="1"/>
  <c r="F8" i="40"/>
  <c r="E131" i="3" s="1"/>
  <c r="E8" i="40"/>
  <c r="D131" i="3" s="1"/>
  <c r="W12" i="20"/>
  <c r="Q9" i="52"/>
  <c r="Q67" i="52"/>
  <c r="J61" i="52"/>
  <c r="Q66" i="52"/>
  <c r="D75" i="52"/>
  <c r="W13" i="11"/>
  <c r="Q65" i="52"/>
  <c r="X109" i="52"/>
  <c r="R112" i="52"/>
  <c r="Q24" i="52"/>
  <c r="J91" i="52"/>
  <c r="K8" i="39"/>
  <c r="J111" i="3" s="1"/>
  <c r="J8" i="39"/>
  <c r="I111" i="3" s="1"/>
  <c r="H8" i="39"/>
  <c r="G111" i="3" s="1"/>
  <c r="I8" i="39"/>
  <c r="J118" i="52"/>
  <c r="Q33" i="52"/>
  <c r="J59" i="52"/>
  <c r="Q140" i="52"/>
  <c r="F46" i="52"/>
  <c r="I102" i="3"/>
  <c r="G102" i="3"/>
  <c r="W10" i="21"/>
  <c r="I10" i="31"/>
  <c r="H9" i="3" s="1"/>
  <c r="H10" i="31"/>
  <c r="G9" i="3" s="1"/>
  <c r="F56" i="52"/>
  <c r="D56" i="52"/>
  <c r="G12" i="31"/>
  <c r="F11" i="3" s="1"/>
  <c r="Q114" i="52"/>
  <c r="G9" i="10"/>
  <c r="F50" i="3" s="1"/>
  <c r="F9" i="10"/>
  <c r="H9" i="10"/>
  <c r="G50" i="3" s="1"/>
  <c r="Q86" i="52"/>
  <c r="W12" i="21"/>
  <c r="T18" i="52"/>
  <c r="T16" i="52" s="1"/>
  <c r="R18" i="52"/>
  <c r="R16" i="52" s="1"/>
  <c r="F8" i="10"/>
  <c r="G8" i="10"/>
  <c r="F49" i="3" s="1"/>
  <c r="H8" i="10"/>
  <c r="G49" i="3" s="1"/>
  <c r="J114" i="52"/>
  <c r="Q121" i="52"/>
  <c r="Q147" i="52"/>
  <c r="W10" i="27"/>
  <c r="H11" i="31"/>
  <c r="G10" i="3" s="1"/>
  <c r="I11" i="31"/>
  <c r="H10" i="3" s="1"/>
  <c r="Q42" i="52"/>
  <c r="Q27" i="52"/>
  <c r="Q32" i="52"/>
  <c r="W12" i="11"/>
  <c r="D118" i="52"/>
  <c r="F118" i="52"/>
  <c r="J31" i="52"/>
  <c r="Q93" i="52"/>
  <c r="J112" i="52"/>
  <c r="G11" i="40"/>
  <c r="F134" i="3" s="1"/>
  <c r="H11" i="40"/>
  <c r="G134" i="3" s="1"/>
  <c r="C146" i="52"/>
  <c r="J27" i="52"/>
  <c r="Q88" i="52"/>
  <c r="Q119" i="52"/>
  <c r="Q87" i="52"/>
  <c r="Q122" i="52"/>
  <c r="Q152" i="52"/>
  <c r="G11" i="2"/>
  <c r="F11" i="2"/>
  <c r="E11" i="2"/>
  <c r="Q15" i="52"/>
  <c r="Q23" i="52"/>
  <c r="Q92" i="52"/>
  <c r="E8" i="20"/>
  <c r="D118" i="3" s="1"/>
  <c r="F8" i="20"/>
  <c r="E118" i="3" s="1"/>
  <c r="Q76" i="52"/>
  <c r="F9" i="21"/>
  <c r="E125" i="3" s="1"/>
  <c r="G9" i="21"/>
  <c r="F125" i="3" s="1"/>
  <c r="F123" i="3" s="1"/>
  <c r="G16" i="42"/>
  <c r="F89" i="3" s="1"/>
  <c r="Q85" i="52"/>
  <c r="X108" i="52"/>
  <c r="J134" i="52"/>
  <c r="E11" i="20"/>
  <c r="D121" i="3" s="1"/>
  <c r="F11" i="20"/>
  <c r="E121" i="3" s="1"/>
  <c r="W9" i="24"/>
  <c r="G13" i="40"/>
  <c r="I8" i="2"/>
  <c r="H8" i="2"/>
  <c r="T100" i="3" l="1"/>
  <c r="T95" i="3" s="1"/>
  <c r="O60" i="3"/>
  <c r="D51" i="59"/>
  <c r="N8" i="38"/>
  <c r="M105" i="3" s="1"/>
  <c r="M104" i="3" s="1"/>
  <c r="S16" i="52"/>
  <c r="Q130" i="52"/>
  <c r="D109" i="59"/>
  <c r="V158" i="3"/>
  <c r="W12" i="31"/>
  <c r="N20" i="3"/>
  <c r="U100" i="3"/>
  <c r="U95" i="3" s="1"/>
  <c r="R9" i="37"/>
  <c r="Q102" i="3" s="1"/>
  <c r="P9" i="37"/>
  <c r="O102" i="3" s="1"/>
  <c r="O100" i="3" s="1"/>
  <c r="O9" i="37"/>
  <c r="N102" i="3" s="1"/>
  <c r="Q9" i="37"/>
  <c r="P102" i="3" s="1"/>
  <c r="P100" i="3" s="1"/>
  <c r="J126" i="52"/>
  <c r="J115" i="52"/>
  <c r="K115" i="52" s="1"/>
  <c r="J51" i="52"/>
  <c r="F8" i="2"/>
  <c r="O9" i="31"/>
  <c r="N8" i="3" s="1"/>
  <c r="N9" i="31"/>
  <c r="M8" i="3" s="1"/>
  <c r="T8" i="31"/>
  <c r="S7" i="3" s="1"/>
  <c r="Q8" i="31"/>
  <c r="P7" i="3" s="1"/>
  <c r="O8" i="31"/>
  <c r="N7" i="3" s="1"/>
  <c r="M8" i="31"/>
  <c r="L7" i="3" s="1"/>
  <c r="D7" i="59" s="1"/>
  <c r="L60" i="3"/>
  <c r="D132" i="59"/>
  <c r="T9" i="37"/>
  <c r="S102" i="3" s="1"/>
  <c r="S100" i="3" s="1"/>
  <c r="N9" i="37"/>
  <c r="M102" i="3" s="1"/>
  <c r="L9" i="37"/>
  <c r="K102" i="3" s="1"/>
  <c r="G9" i="37"/>
  <c r="M9" i="37"/>
  <c r="L102" i="3" s="1"/>
  <c r="L20" i="3"/>
  <c r="I60" i="3"/>
  <c r="J74" i="3"/>
  <c r="J103" i="52"/>
  <c r="K103" i="52" s="1"/>
  <c r="Q126" i="52"/>
  <c r="J130" i="3"/>
  <c r="K116" i="3"/>
  <c r="K9" i="37"/>
  <c r="J102" i="3" s="1"/>
  <c r="J100" i="3" s="1"/>
  <c r="F9" i="37"/>
  <c r="E102" i="3" s="1"/>
  <c r="S9" i="37"/>
  <c r="R102" i="3" s="1"/>
  <c r="N116" i="3"/>
  <c r="K130" i="3"/>
  <c r="O130" i="3"/>
  <c r="J116" i="3"/>
  <c r="W8" i="10"/>
  <c r="E49" i="3"/>
  <c r="Q80" i="3"/>
  <c r="E82" i="59"/>
  <c r="E92" i="59"/>
  <c r="O104" i="3"/>
  <c r="D99" i="59"/>
  <c r="D86" i="59"/>
  <c r="E117" i="3"/>
  <c r="G48" i="3"/>
  <c r="E50" i="3"/>
  <c r="W9" i="10"/>
  <c r="K100" i="3"/>
  <c r="L100" i="3"/>
  <c r="J93" i="52"/>
  <c r="M93" i="52" s="1"/>
  <c r="E130" i="3"/>
  <c r="D88" i="59"/>
  <c r="V88" i="3"/>
  <c r="L80" i="3"/>
  <c r="V94" i="3"/>
  <c r="D94" i="59"/>
  <c r="D93" i="59"/>
  <c r="V93" i="3"/>
  <c r="G90" i="3"/>
  <c r="W8" i="34"/>
  <c r="F21" i="3"/>
  <c r="G12" i="3"/>
  <c r="F135" i="3"/>
  <c r="D81" i="59"/>
  <c r="W12" i="42"/>
  <c r="G85" i="3"/>
  <c r="W14" i="42"/>
  <c r="F87" i="3"/>
  <c r="D8" i="3"/>
  <c r="O6" i="3"/>
  <c r="H6" i="3"/>
  <c r="J6" i="3"/>
  <c r="U6" i="3"/>
  <c r="E13" i="3"/>
  <c r="W8" i="32"/>
  <c r="Q30" i="3"/>
  <c r="E30" i="59" s="1"/>
  <c r="E106" i="59"/>
  <c r="P104" i="3"/>
  <c r="I30" i="3"/>
  <c r="G20" i="3"/>
  <c r="D104" i="3"/>
  <c r="K30" i="3"/>
  <c r="T30" i="3"/>
  <c r="E33" i="59"/>
  <c r="D45" i="59"/>
  <c r="E62" i="59"/>
  <c r="Q62" i="52"/>
  <c r="F151" i="3"/>
  <c r="W11" i="25"/>
  <c r="E121" i="59"/>
  <c r="G117" i="3"/>
  <c r="D127" i="59"/>
  <c r="V127" i="3"/>
  <c r="W14" i="40"/>
  <c r="G137" i="3"/>
  <c r="S130" i="3"/>
  <c r="F27" i="59"/>
  <c r="D64" i="3"/>
  <c r="W11" i="11"/>
  <c r="F43" i="59"/>
  <c r="O74" i="3"/>
  <c r="M155" i="3"/>
  <c r="S155" i="3"/>
  <c r="N155" i="3"/>
  <c r="L155" i="3"/>
  <c r="J60" i="3"/>
  <c r="H60" i="3"/>
  <c r="E16" i="59"/>
  <c r="G143" i="3"/>
  <c r="V144" i="3"/>
  <c r="D144" i="59"/>
  <c r="C138" i="59"/>
  <c r="C129" i="3"/>
  <c r="N130" i="3"/>
  <c r="N74" i="3"/>
  <c r="J131" i="52"/>
  <c r="V126" i="3"/>
  <c r="W8" i="37"/>
  <c r="D101" i="3"/>
  <c r="E31" i="59"/>
  <c r="L67" i="3"/>
  <c r="N67" i="3"/>
  <c r="Q67" i="3"/>
  <c r="E71" i="59"/>
  <c r="P67" i="3"/>
  <c r="G67" i="3"/>
  <c r="W10" i="32"/>
  <c r="U60" i="3"/>
  <c r="E143" i="59"/>
  <c r="J90" i="3"/>
  <c r="F108" i="59"/>
  <c r="F122" i="59"/>
  <c r="D150" i="59"/>
  <c r="V150" i="3"/>
  <c r="W14" i="9"/>
  <c r="F47" i="3"/>
  <c r="D76" i="59"/>
  <c r="V76" i="3"/>
  <c r="R123" i="3"/>
  <c r="E124" i="59"/>
  <c r="D10" i="59"/>
  <c r="V10" i="3"/>
  <c r="J152" i="3"/>
  <c r="H147" i="3"/>
  <c r="L138" i="3"/>
  <c r="N138" i="3"/>
  <c r="J121" i="52"/>
  <c r="K121" i="52" s="1"/>
  <c r="Y121" i="52" s="1"/>
  <c r="Q100" i="52"/>
  <c r="V118" i="3"/>
  <c r="C118" i="59"/>
  <c r="D49" i="59"/>
  <c r="F48" i="3"/>
  <c r="D50" i="59"/>
  <c r="W8" i="27"/>
  <c r="J63" i="52"/>
  <c r="K63" i="52" s="1"/>
  <c r="O110" i="3"/>
  <c r="W10" i="8"/>
  <c r="F33" i="3"/>
  <c r="D82" i="59"/>
  <c r="V82" i="3"/>
  <c r="L110" i="3"/>
  <c r="E94" i="59"/>
  <c r="V92" i="3"/>
  <c r="D92" i="59"/>
  <c r="E23" i="59"/>
  <c r="H143" i="3"/>
  <c r="E99" i="3"/>
  <c r="W10" i="36"/>
  <c r="E16" i="3"/>
  <c r="C86" i="59"/>
  <c r="V86" i="3"/>
  <c r="W11" i="42"/>
  <c r="F84" i="3"/>
  <c r="J78" i="52" s="1"/>
  <c r="K6" i="3"/>
  <c r="W8" i="31"/>
  <c r="E7" i="3"/>
  <c r="F6" i="3"/>
  <c r="Q6" i="3"/>
  <c r="M30" i="3"/>
  <c r="D22" i="59"/>
  <c r="V22" i="3"/>
  <c r="D31" i="59"/>
  <c r="D18" i="59"/>
  <c r="H20" i="3"/>
  <c r="L104" i="3"/>
  <c r="S30" i="3"/>
  <c r="U30" i="3"/>
  <c r="F42" i="3"/>
  <c r="W9" i="9"/>
  <c r="V62" i="3"/>
  <c r="C62" i="59"/>
  <c r="C62" i="52"/>
  <c r="D62" i="52" s="1"/>
  <c r="Y62" i="52" s="1"/>
  <c r="D62" i="59"/>
  <c r="J62" i="52"/>
  <c r="G74" i="3"/>
  <c r="W9" i="20"/>
  <c r="D119" i="3"/>
  <c r="C113" i="52" s="1"/>
  <c r="H117" i="3"/>
  <c r="W10" i="40"/>
  <c r="G133" i="3"/>
  <c r="T130" i="3"/>
  <c r="D64" i="59"/>
  <c r="E64" i="59"/>
  <c r="Q64" i="52"/>
  <c r="Q60" i="52" s="1"/>
  <c r="P129" i="3"/>
  <c r="I74" i="3"/>
  <c r="Q155" i="3"/>
  <c r="K155" i="3"/>
  <c r="J155" i="3"/>
  <c r="H155" i="3"/>
  <c r="J20" i="3"/>
  <c r="T20" i="3"/>
  <c r="K142" i="3"/>
  <c r="D9" i="59"/>
  <c r="V9" i="3"/>
  <c r="U116" i="3"/>
  <c r="T90" i="3"/>
  <c r="E152" i="59"/>
  <c r="F141" i="59"/>
  <c r="D53" i="59"/>
  <c r="V53" i="3"/>
  <c r="C32" i="59"/>
  <c r="V32" i="3"/>
  <c r="C32" i="52"/>
  <c r="D32" i="52" s="1"/>
  <c r="Y32" i="52" s="1"/>
  <c r="E137" i="59"/>
  <c r="Q131" i="52"/>
  <c r="D126" i="59"/>
  <c r="I90" i="3"/>
  <c r="W8" i="26"/>
  <c r="E136" i="59"/>
  <c r="D77" i="59"/>
  <c r="V77" i="3"/>
  <c r="F37" i="59"/>
  <c r="H67" i="3"/>
  <c r="J67" i="3"/>
  <c r="M67" i="3"/>
  <c r="S67" i="3"/>
  <c r="R130" i="3"/>
  <c r="D15" i="59"/>
  <c r="V15" i="3"/>
  <c r="W9" i="37"/>
  <c r="D102" i="3"/>
  <c r="D58" i="59"/>
  <c r="V58" i="3"/>
  <c r="D63" i="59"/>
  <c r="V124" i="3"/>
  <c r="R30" i="3"/>
  <c r="L130" i="3"/>
  <c r="T117" i="3"/>
  <c r="W9" i="13"/>
  <c r="T60" i="3"/>
  <c r="K20" i="3"/>
  <c r="Q118" i="52"/>
  <c r="T118" i="52" s="1"/>
  <c r="F81" i="59"/>
  <c r="W11" i="27"/>
  <c r="M134" i="3"/>
  <c r="R11" i="40"/>
  <c r="R100" i="3"/>
  <c r="E155" i="3"/>
  <c r="V156" i="3"/>
  <c r="C156" i="59"/>
  <c r="W8" i="25"/>
  <c r="F148" i="3"/>
  <c r="V46" i="3"/>
  <c r="C46" i="59"/>
  <c r="C98" i="59"/>
  <c r="V98" i="3"/>
  <c r="C92" i="52"/>
  <c r="H138" i="3"/>
  <c r="J138" i="3"/>
  <c r="D125" i="59"/>
  <c r="M100" i="3"/>
  <c r="I152" i="3"/>
  <c r="D25" i="59"/>
  <c r="V25" i="3"/>
  <c r="H90" i="3"/>
  <c r="S40" i="3"/>
  <c r="E45" i="59"/>
  <c r="G104" i="3"/>
  <c r="C18" i="59"/>
  <c r="D16" i="3"/>
  <c r="C18" i="52"/>
  <c r="G6" i="3"/>
  <c r="R6" i="3"/>
  <c r="T6" i="3"/>
  <c r="J30" i="3"/>
  <c r="O30" i="3"/>
  <c r="D23" i="59"/>
  <c r="V23" i="3"/>
  <c r="W9" i="33"/>
  <c r="D98" i="59"/>
  <c r="V109" i="3"/>
  <c r="C109" i="59"/>
  <c r="K104" i="3"/>
  <c r="H30" i="3"/>
  <c r="E34" i="59"/>
  <c r="D36" i="59"/>
  <c r="F75" i="3"/>
  <c r="W8" i="13"/>
  <c r="D121" i="59"/>
  <c r="V120" i="3"/>
  <c r="C120" i="59"/>
  <c r="C26" i="59"/>
  <c r="E132" i="59"/>
  <c r="I155" i="3"/>
  <c r="F157" i="3"/>
  <c r="W9" i="27"/>
  <c r="T155" i="3"/>
  <c r="M60" i="3"/>
  <c r="G60" i="3"/>
  <c r="V35" i="3"/>
  <c r="D35" i="59"/>
  <c r="W13" i="8"/>
  <c r="W10" i="31"/>
  <c r="W11" i="13"/>
  <c r="F78" i="3"/>
  <c r="F44" i="59"/>
  <c r="Q60" i="3"/>
  <c r="K60" i="3"/>
  <c r="F56" i="59"/>
  <c r="C38" i="59"/>
  <c r="V38" i="3"/>
  <c r="H152" i="3"/>
  <c r="D153" i="59"/>
  <c r="V153" i="3"/>
  <c r="V63" i="3"/>
  <c r="D71" i="3"/>
  <c r="W11" i="58"/>
  <c r="W14" i="58" s="1"/>
  <c r="D71" i="59"/>
  <c r="F67" i="3"/>
  <c r="I67" i="3"/>
  <c r="O67" i="3"/>
  <c r="K74" i="3"/>
  <c r="E60" i="3"/>
  <c r="R60" i="3"/>
  <c r="P60" i="3"/>
  <c r="M20" i="3"/>
  <c r="N12" i="40"/>
  <c r="M135" i="3" s="1"/>
  <c r="J12" i="40"/>
  <c r="I135" i="3" s="1"/>
  <c r="I12" i="40"/>
  <c r="H135" i="3" s="1"/>
  <c r="V12" i="40"/>
  <c r="U135" i="3" s="1"/>
  <c r="R12" i="40"/>
  <c r="Q135" i="3" s="1"/>
  <c r="M116" i="3"/>
  <c r="E96" i="59"/>
  <c r="D31" i="3"/>
  <c r="C31" i="52" s="1"/>
  <c r="X31" i="52" s="1"/>
  <c r="W8" i="8"/>
  <c r="V146" i="3"/>
  <c r="D146" i="59"/>
  <c r="M74" i="3"/>
  <c r="O116" i="3"/>
  <c r="D13" i="59"/>
  <c r="V81" i="3"/>
  <c r="Q116" i="3"/>
  <c r="P95" i="3"/>
  <c r="D159" i="59"/>
  <c r="V159" i="3"/>
  <c r="N29" i="3"/>
  <c r="D145" i="59"/>
  <c r="G155" i="3"/>
  <c r="G147" i="3"/>
  <c r="G40" i="3"/>
  <c r="W9" i="36"/>
  <c r="O138" i="3"/>
  <c r="M138" i="3"/>
  <c r="D97" i="59"/>
  <c r="F96" i="3"/>
  <c r="F65" i="59"/>
  <c r="F136" i="3"/>
  <c r="F130" i="3" s="1"/>
  <c r="W13" i="40"/>
  <c r="V121" i="3"/>
  <c r="C121" i="59"/>
  <c r="C125" i="59"/>
  <c r="V125" i="3"/>
  <c r="E123" i="3"/>
  <c r="Q34" i="52"/>
  <c r="Q30" i="52" s="1"/>
  <c r="J133" i="52"/>
  <c r="X133" i="52" s="1"/>
  <c r="D134" i="59"/>
  <c r="Q115" i="52"/>
  <c r="R115" i="52" s="1"/>
  <c r="R111" i="52" s="1"/>
  <c r="D11" i="59"/>
  <c r="N100" i="3"/>
  <c r="I100" i="3"/>
  <c r="W9" i="34"/>
  <c r="V131" i="3"/>
  <c r="C131" i="59"/>
  <c r="E24" i="59"/>
  <c r="D19" i="3"/>
  <c r="C19" i="52" s="1"/>
  <c r="W10" i="33"/>
  <c r="E93" i="59"/>
  <c r="D91" i="59"/>
  <c r="F90" i="3"/>
  <c r="V91" i="3"/>
  <c r="F14" i="3"/>
  <c r="W9" i="32"/>
  <c r="W10" i="42"/>
  <c r="G83" i="3"/>
  <c r="G8" i="2"/>
  <c r="W12" i="9"/>
  <c r="E45" i="3"/>
  <c r="H12" i="40"/>
  <c r="G135" i="3" s="1"/>
  <c r="W8" i="42"/>
  <c r="S6" i="3"/>
  <c r="E7" i="59"/>
  <c r="P6" i="3"/>
  <c r="N6" i="3"/>
  <c r="L6" i="3"/>
  <c r="I6" i="3"/>
  <c r="H12" i="3"/>
  <c r="F17" i="3"/>
  <c r="F16" i="3" s="1"/>
  <c r="W8" i="33"/>
  <c r="G152" i="3"/>
  <c r="D154" i="59"/>
  <c r="V154" i="3"/>
  <c r="L30" i="3"/>
  <c r="V24" i="3"/>
  <c r="D24" i="59"/>
  <c r="H107" i="3"/>
  <c r="S10" i="38"/>
  <c r="R107" i="3" s="1"/>
  <c r="R10" i="38"/>
  <c r="Q107" i="3" s="1"/>
  <c r="J104" i="3"/>
  <c r="G30" i="3"/>
  <c r="E51" i="3"/>
  <c r="W10" i="10"/>
  <c r="F149" i="3"/>
  <c r="W9" i="25"/>
  <c r="H74" i="3"/>
  <c r="D120" i="59"/>
  <c r="F117" i="3"/>
  <c r="W9" i="40"/>
  <c r="D132" i="3"/>
  <c r="W8" i="41"/>
  <c r="W11" i="41" s="1"/>
  <c r="D39" i="59"/>
  <c r="V39" i="3"/>
  <c r="U155" i="3"/>
  <c r="O155" i="3"/>
  <c r="R155" i="3"/>
  <c r="E157" i="59"/>
  <c r="P155" i="3"/>
  <c r="Q151" i="52"/>
  <c r="Q149" i="52" s="1"/>
  <c r="V36" i="3"/>
  <c r="C36" i="59"/>
  <c r="C36" i="52"/>
  <c r="O20" i="3"/>
  <c r="I20" i="3"/>
  <c r="W8" i="24"/>
  <c r="W11" i="24" s="1"/>
  <c r="D158" i="59"/>
  <c r="K40" i="3"/>
  <c r="V11" i="3"/>
  <c r="C11" i="59"/>
  <c r="V106" i="3"/>
  <c r="I143" i="3"/>
  <c r="M142" i="3"/>
  <c r="P29" i="3"/>
  <c r="I116" i="3"/>
  <c r="C59" i="59"/>
  <c r="V59" i="3"/>
  <c r="C52" i="59"/>
  <c r="V52" i="3"/>
  <c r="C52" i="52"/>
  <c r="T67" i="3"/>
  <c r="R67" i="3"/>
  <c r="U67" i="3"/>
  <c r="E67" i="3"/>
  <c r="K67" i="3"/>
  <c r="E117" i="59"/>
  <c r="P116" i="3"/>
  <c r="L74" i="3"/>
  <c r="E102" i="59"/>
  <c r="G16" i="3"/>
  <c r="E40" i="59"/>
  <c r="H123" i="3"/>
  <c r="E30" i="3"/>
  <c r="F61" i="59"/>
  <c r="S60" i="3"/>
  <c r="I40" i="3"/>
  <c r="P20" i="3"/>
  <c r="E80" i="3"/>
  <c r="E80" i="59"/>
  <c r="P79" i="3"/>
  <c r="G123" i="3"/>
  <c r="W11" i="31"/>
  <c r="V145" i="3"/>
  <c r="D156" i="59"/>
  <c r="F155" i="3"/>
  <c r="I147" i="3"/>
  <c r="F41" i="3"/>
  <c r="W8" i="9"/>
  <c r="V139" i="3"/>
  <c r="G138" i="3"/>
  <c r="D139" i="59"/>
  <c r="K138" i="3"/>
  <c r="I138" i="3"/>
  <c r="E97" i="3"/>
  <c r="C91" i="52" s="1"/>
  <c r="W8" i="36"/>
  <c r="H26" i="3"/>
  <c r="M26" i="3"/>
  <c r="S26" i="3"/>
  <c r="R26" i="3"/>
  <c r="T26" i="3"/>
  <c r="O26" i="3"/>
  <c r="N26" i="3"/>
  <c r="U26" i="3"/>
  <c r="K26" i="3"/>
  <c r="J26" i="3"/>
  <c r="G26" i="3"/>
  <c r="Q26" i="3"/>
  <c r="L26" i="3"/>
  <c r="I26" i="3"/>
  <c r="Q106" i="52"/>
  <c r="R106" i="52" s="1"/>
  <c r="Q107" i="52"/>
  <c r="T107" i="52" s="1"/>
  <c r="G110" i="3"/>
  <c r="I110" i="3"/>
  <c r="E113" i="59"/>
  <c r="Q110" i="3"/>
  <c r="J110" i="3"/>
  <c r="E112" i="59"/>
  <c r="P110" i="3"/>
  <c r="F103" i="3"/>
  <c r="W8" i="39"/>
  <c r="H111" i="3"/>
  <c r="M110" i="3"/>
  <c r="D112" i="59"/>
  <c r="V112" i="3"/>
  <c r="K110" i="3"/>
  <c r="N110" i="3"/>
  <c r="D113" i="59"/>
  <c r="V113" i="3"/>
  <c r="E28" i="59"/>
  <c r="F28" i="3"/>
  <c r="J28" i="52" s="1"/>
  <c r="J26" i="52" s="1"/>
  <c r="W9" i="35"/>
  <c r="W10" i="35" s="1"/>
  <c r="P26" i="3"/>
  <c r="Q28" i="52"/>
  <c r="W9" i="21"/>
  <c r="W11" i="21"/>
  <c r="W10" i="20"/>
  <c r="W11" i="20"/>
  <c r="W8" i="20"/>
  <c r="W9" i="39"/>
  <c r="W10" i="39"/>
  <c r="W9" i="26"/>
  <c r="W10" i="26" s="1"/>
  <c r="W10" i="11"/>
  <c r="W9" i="11"/>
  <c r="H27" i="12"/>
  <c r="G11" i="8"/>
  <c r="W9" i="38"/>
  <c r="W12" i="38"/>
  <c r="J10" i="38"/>
  <c r="H100" i="3"/>
  <c r="F102" i="3"/>
  <c r="G101" i="3"/>
  <c r="G100" i="3" s="1"/>
  <c r="W10" i="34"/>
  <c r="V18" i="3"/>
  <c r="J18" i="52"/>
  <c r="M140" i="52"/>
  <c r="M137" i="52" s="1"/>
  <c r="O140" i="52"/>
  <c r="AC140" i="52" s="1"/>
  <c r="X140" i="52"/>
  <c r="Q20" i="52"/>
  <c r="Q137" i="52"/>
  <c r="W15" i="42"/>
  <c r="W9" i="42"/>
  <c r="W13" i="42"/>
  <c r="W8" i="43"/>
  <c r="W9" i="43"/>
  <c r="W11" i="43"/>
  <c r="W10" i="43"/>
  <c r="U16" i="52"/>
  <c r="C38" i="52"/>
  <c r="W11" i="34"/>
  <c r="W12" i="34"/>
  <c r="W8" i="40"/>
  <c r="J37" i="52"/>
  <c r="J144" i="52"/>
  <c r="C93" i="52"/>
  <c r="X93" i="52" s="1"/>
  <c r="H16" i="42"/>
  <c r="J119" i="52"/>
  <c r="T76" i="52"/>
  <c r="T74" i="52" s="1"/>
  <c r="R76" i="52"/>
  <c r="R74" i="52" s="1"/>
  <c r="Q104" i="52"/>
  <c r="J139" i="52"/>
  <c r="K134" i="52"/>
  <c r="Y134" i="52" s="1"/>
  <c r="M134" i="52"/>
  <c r="AA134" i="52" s="1"/>
  <c r="O134" i="52"/>
  <c r="Q84" i="52"/>
  <c r="J33" i="52"/>
  <c r="X33" i="52" s="1"/>
  <c r="J86" i="52"/>
  <c r="X86" i="52" s="1"/>
  <c r="C17" i="52"/>
  <c r="J148" i="52"/>
  <c r="K150" i="52"/>
  <c r="T119" i="52"/>
  <c r="T117" i="52" s="1"/>
  <c r="R119" i="52"/>
  <c r="T88" i="52"/>
  <c r="V88" i="52"/>
  <c r="R88" i="52"/>
  <c r="K27" i="52"/>
  <c r="C103" i="52"/>
  <c r="X103" i="52" s="1"/>
  <c r="J152" i="52"/>
  <c r="J138" i="52"/>
  <c r="J49" i="52"/>
  <c r="X134" i="52"/>
  <c r="J80" i="52"/>
  <c r="C59" i="52"/>
  <c r="D59" i="52" s="1"/>
  <c r="C150" i="52"/>
  <c r="J120" i="52"/>
  <c r="Q96" i="52"/>
  <c r="J82" i="52"/>
  <c r="R33" i="52"/>
  <c r="T33" i="52"/>
  <c r="O91" i="52"/>
  <c r="M91" i="52"/>
  <c r="K91" i="52"/>
  <c r="C27" i="52"/>
  <c r="X27" i="52" s="1"/>
  <c r="Q111" i="52"/>
  <c r="J56" i="52"/>
  <c r="J64" i="52"/>
  <c r="C61" i="52"/>
  <c r="C114" i="52"/>
  <c r="J100" i="52"/>
  <c r="X100" i="52" s="1"/>
  <c r="J41" i="52"/>
  <c r="J67" i="52"/>
  <c r="K67" i="52" s="1"/>
  <c r="Y67" i="52" s="1"/>
  <c r="J36" i="52"/>
  <c r="Q146" i="52"/>
  <c r="J50" i="52"/>
  <c r="J35" i="52"/>
  <c r="X35" i="52" s="1"/>
  <c r="J11" i="52"/>
  <c r="J107" i="52"/>
  <c r="C135" i="52"/>
  <c r="AA46" i="52"/>
  <c r="F40" i="52"/>
  <c r="K59" i="52"/>
  <c r="K51" i="52"/>
  <c r="J22" i="52"/>
  <c r="R45" i="52"/>
  <c r="J53" i="52"/>
  <c r="J25" i="52"/>
  <c r="J52" i="52"/>
  <c r="C102" i="52"/>
  <c r="J145" i="52"/>
  <c r="C80" i="52"/>
  <c r="J44" i="52"/>
  <c r="C127" i="52"/>
  <c r="J47" i="52"/>
  <c r="C51" i="52"/>
  <c r="D51" i="52" s="1"/>
  <c r="K112" i="52"/>
  <c r="J69" i="52"/>
  <c r="C58" i="52"/>
  <c r="J153" i="52"/>
  <c r="J147" i="52"/>
  <c r="X147" i="52" s="1"/>
  <c r="O8" i="38"/>
  <c r="N105" i="3" s="1"/>
  <c r="D105" i="59" s="1"/>
  <c r="C63" i="52"/>
  <c r="J122" i="52"/>
  <c r="X122" i="52" s="1"/>
  <c r="J85" i="52"/>
  <c r="X85" i="52" s="1"/>
  <c r="J21" i="52"/>
  <c r="T86" i="52"/>
  <c r="R86" i="52"/>
  <c r="J76" i="52"/>
  <c r="X76" i="52" s="1"/>
  <c r="M103" i="52"/>
  <c r="J92" i="52"/>
  <c r="T31" i="52"/>
  <c r="R31" i="52"/>
  <c r="J151" i="52"/>
  <c r="R107" i="52"/>
  <c r="J87" i="52"/>
  <c r="X87" i="52" s="1"/>
  <c r="J71" i="52"/>
  <c r="V24" i="52"/>
  <c r="R24" i="52"/>
  <c r="T24" i="52"/>
  <c r="J23" i="52"/>
  <c r="X23" i="52" s="1"/>
  <c r="J66" i="52"/>
  <c r="X66" i="52" s="1"/>
  <c r="J39" i="52"/>
  <c r="X39" i="52" s="1"/>
  <c r="Q74" i="52"/>
  <c r="T100" i="52"/>
  <c r="T98" i="52" s="1"/>
  <c r="R100" i="52"/>
  <c r="R98" i="52" s="1"/>
  <c r="J75" i="52"/>
  <c r="O121" i="52"/>
  <c r="C83" i="52"/>
  <c r="D83" i="52" s="1"/>
  <c r="V23" i="52"/>
  <c r="R23" i="52"/>
  <c r="T23" i="52"/>
  <c r="K133" i="52"/>
  <c r="J106" i="52"/>
  <c r="R122" i="52"/>
  <c r="Y122" i="52" s="1"/>
  <c r="R87" i="52"/>
  <c r="V87" i="52"/>
  <c r="T87" i="52"/>
  <c r="J45" i="52"/>
  <c r="K45" i="52" s="1"/>
  <c r="M31" i="52"/>
  <c r="K31" i="52"/>
  <c r="J65" i="52"/>
  <c r="J43" i="52"/>
  <c r="X43" i="52" s="1"/>
  <c r="J32" i="52"/>
  <c r="Q40" i="52"/>
  <c r="F8" i="38"/>
  <c r="E105" i="3" s="1"/>
  <c r="C105" i="59" s="1"/>
  <c r="J88" i="52"/>
  <c r="X88" i="52" s="1"/>
  <c r="J24" i="52"/>
  <c r="K93" i="52"/>
  <c r="O93" i="52"/>
  <c r="AC93" i="52" s="1"/>
  <c r="M63" i="52"/>
  <c r="M60" i="52" s="1"/>
  <c r="K118" i="52"/>
  <c r="Y118" i="52" s="1"/>
  <c r="M118" i="52"/>
  <c r="J46" i="52"/>
  <c r="X46" i="52" s="1"/>
  <c r="V105" i="3" l="1"/>
  <c r="X121" i="52"/>
  <c r="J132" i="52"/>
  <c r="M121" i="52"/>
  <c r="AA121" i="52" s="1"/>
  <c r="V107" i="52"/>
  <c r="AC107" i="52" s="1"/>
  <c r="J8" i="52"/>
  <c r="O8" i="52" s="1"/>
  <c r="AC8" i="52" s="1"/>
  <c r="J111" i="52"/>
  <c r="X107" i="52"/>
  <c r="W13" i="21"/>
  <c r="W15" i="9"/>
  <c r="M133" i="52"/>
  <c r="R34" i="52"/>
  <c r="K111" i="52"/>
  <c r="X52" i="52"/>
  <c r="E100" i="3"/>
  <c r="W9" i="31"/>
  <c r="T34" i="52"/>
  <c r="AA140" i="52"/>
  <c r="AA137" i="52" s="1"/>
  <c r="D101" i="59"/>
  <c r="O129" i="3"/>
  <c r="M6" i="3"/>
  <c r="W12" i="25"/>
  <c r="D8" i="59"/>
  <c r="Q100" i="3"/>
  <c r="J129" i="52"/>
  <c r="D16" i="59"/>
  <c r="F105" i="59"/>
  <c r="F129" i="3"/>
  <c r="F36" i="59"/>
  <c r="H104" i="3"/>
  <c r="V83" i="3"/>
  <c r="D83" i="59"/>
  <c r="V90" i="3"/>
  <c r="N95" i="3"/>
  <c r="F121" i="59"/>
  <c r="F159" i="59"/>
  <c r="V152" i="3"/>
  <c r="F120" i="59"/>
  <c r="O29" i="3"/>
  <c r="F92" i="52"/>
  <c r="D92" i="52"/>
  <c r="L129" i="3"/>
  <c r="C102" i="59"/>
  <c r="C96" i="52"/>
  <c r="F126" i="59"/>
  <c r="Q142" i="3"/>
  <c r="G130" i="3"/>
  <c r="V119" i="3"/>
  <c r="C119" i="59"/>
  <c r="F62" i="59"/>
  <c r="E6" i="3"/>
  <c r="C7" i="59"/>
  <c r="V7" i="3"/>
  <c r="F82" i="59"/>
  <c r="F124" i="59"/>
  <c r="M131" i="52"/>
  <c r="AA131" i="52" s="1"/>
  <c r="K131" i="52"/>
  <c r="Y131" i="52" s="1"/>
  <c r="C160" i="3"/>
  <c r="F144" i="59"/>
  <c r="L142" i="3"/>
  <c r="S142" i="3"/>
  <c r="D87" i="59"/>
  <c r="V87" i="3"/>
  <c r="W13" i="34"/>
  <c r="X106" i="52"/>
  <c r="T106" i="52"/>
  <c r="T104" i="52" s="1"/>
  <c r="U104" i="52" s="1"/>
  <c r="H95" i="3"/>
  <c r="W11" i="8"/>
  <c r="F34" i="3"/>
  <c r="K103" i="3"/>
  <c r="D111" i="59"/>
  <c r="D138" i="59"/>
  <c r="F11" i="59"/>
  <c r="O142" i="3"/>
  <c r="D117" i="59"/>
  <c r="F116" i="3"/>
  <c r="C51" i="59"/>
  <c r="V51" i="3"/>
  <c r="F154" i="59"/>
  <c r="V45" i="3"/>
  <c r="E40" i="3"/>
  <c r="C45" i="59"/>
  <c r="C45" i="52"/>
  <c r="F153" i="59"/>
  <c r="W12" i="13"/>
  <c r="H79" i="3"/>
  <c r="M95" i="3"/>
  <c r="F156" i="59"/>
  <c r="V123" i="3"/>
  <c r="X131" i="52"/>
  <c r="T79" i="3"/>
  <c r="F9" i="59"/>
  <c r="M29" i="3"/>
  <c r="D6" i="59"/>
  <c r="F86" i="59"/>
  <c r="S95" i="3"/>
  <c r="X118" i="52"/>
  <c r="Q117" i="52"/>
  <c r="V106" i="52"/>
  <c r="G95" i="3"/>
  <c r="Q103" i="3"/>
  <c r="E96" i="3"/>
  <c r="C97" i="59"/>
  <c r="V97" i="3"/>
  <c r="E79" i="3"/>
  <c r="C80" i="59"/>
  <c r="F52" i="59"/>
  <c r="E95" i="3"/>
  <c r="F158" i="59"/>
  <c r="F36" i="52"/>
  <c r="D36" i="52"/>
  <c r="R142" i="3"/>
  <c r="U142" i="3"/>
  <c r="C132" i="59"/>
  <c r="V132" i="3"/>
  <c r="C126" i="52"/>
  <c r="D149" i="59"/>
  <c r="V149" i="3"/>
  <c r="R104" i="3"/>
  <c r="F24" i="59"/>
  <c r="D14" i="59"/>
  <c r="V14" i="3"/>
  <c r="F12" i="3"/>
  <c r="J14" i="52"/>
  <c r="V19" i="3"/>
  <c r="C19" i="59"/>
  <c r="F146" i="59"/>
  <c r="D30" i="3"/>
  <c r="V31" i="3"/>
  <c r="C31" i="59"/>
  <c r="H130" i="3"/>
  <c r="E60" i="59"/>
  <c r="F38" i="59"/>
  <c r="F35" i="59"/>
  <c r="D157" i="59"/>
  <c r="V157" i="3"/>
  <c r="K129" i="3"/>
  <c r="H29" i="3"/>
  <c r="F109" i="59"/>
  <c r="D148" i="59"/>
  <c r="F147" i="3"/>
  <c r="V148" i="3"/>
  <c r="E142" i="3"/>
  <c r="C155" i="59"/>
  <c r="M130" i="3"/>
  <c r="T116" i="3"/>
  <c r="R29" i="3"/>
  <c r="F15" i="59"/>
  <c r="I79" i="3"/>
  <c r="F32" i="59"/>
  <c r="F53" i="59"/>
  <c r="S29" i="3"/>
  <c r="F22" i="59"/>
  <c r="H142" i="3"/>
  <c r="F92" i="59"/>
  <c r="W12" i="27"/>
  <c r="D117" i="3"/>
  <c r="J142" i="3"/>
  <c r="D60" i="59"/>
  <c r="J79" i="3"/>
  <c r="E67" i="59"/>
  <c r="V64" i="3"/>
  <c r="C64" i="59"/>
  <c r="C64" i="52"/>
  <c r="D64" i="52" s="1"/>
  <c r="Y64" i="52" s="1"/>
  <c r="D60" i="3"/>
  <c r="F127" i="59"/>
  <c r="X62" i="52"/>
  <c r="T29" i="3"/>
  <c r="D6" i="3"/>
  <c r="C8" i="59"/>
  <c r="W12" i="40"/>
  <c r="D21" i="59"/>
  <c r="F20" i="3"/>
  <c r="V21" i="3"/>
  <c r="E129" i="3"/>
  <c r="L95" i="3"/>
  <c r="C50" i="59"/>
  <c r="V50" i="3"/>
  <c r="V133" i="3"/>
  <c r="X64" i="52"/>
  <c r="V102" i="3"/>
  <c r="D102" i="59"/>
  <c r="M103" i="3"/>
  <c r="F139" i="59"/>
  <c r="D155" i="59"/>
  <c r="E20" i="59"/>
  <c r="E155" i="59"/>
  <c r="F131" i="59"/>
  <c r="D136" i="59"/>
  <c r="V136" i="3"/>
  <c r="F145" i="59"/>
  <c r="D78" i="59"/>
  <c r="V78" i="3"/>
  <c r="T142" i="3"/>
  <c r="W11" i="33"/>
  <c r="F18" i="52"/>
  <c r="D18" i="52"/>
  <c r="F25" i="59"/>
  <c r="F46" i="59"/>
  <c r="D42" i="59"/>
  <c r="V42" i="3"/>
  <c r="W11" i="32"/>
  <c r="F80" i="3"/>
  <c r="D135" i="59"/>
  <c r="V135" i="3"/>
  <c r="F93" i="59"/>
  <c r="O95" i="3"/>
  <c r="J77" i="52"/>
  <c r="M77" i="52" s="1"/>
  <c r="AA77" i="52" s="1"/>
  <c r="D41" i="59"/>
  <c r="F40" i="3"/>
  <c r="V41" i="3"/>
  <c r="I142" i="3"/>
  <c r="D17" i="59"/>
  <c r="V17" i="3"/>
  <c r="J17" i="52"/>
  <c r="J16" i="52" s="1"/>
  <c r="D90" i="59"/>
  <c r="C123" i="59"/>
  <c r="E135" i="59"/>
  <c r="Q129" i="52"/>
  <c r="D67" i="59"/>
  <c r="V71" i="3"/>
  <c r="C71" i="59"/>
  <c r="D67" i="3"/>
  <c r="C16" i="59"/>
  <c r="R95" i="3"/>
  <c r="I130" i="3"/>
  <c r="U29" i="3"/>
  <c r="W13" i="31"/>
  <c r="O103" i="3"/>
  <c r="F118" i="59"/>
  <c r="J127" i="52"/>
  <c r="F10" i="59"/>
  <c r="R116" i="3"/>
  <c r="F150" i="59"/>
  <c r="C101" i="59"/>
  <c r="D100" i="3"/>
  <c r="C95" i="52"/>
  <c r="C94" i="52" s="1"/>
  <c r="V137" i="3"/>
  <c r="N129" i="3"/>
  <c r="V143" i="3"/>
  <c r="G116" i="3"/>
  <c r="K29" i="3"/>
  <c r="D103" i="3"/>
  <c r="I29" i="3"/>
  <c r="E12" i="3"/>
  <c r="V13" i="3"/>
  <c r="C13" i="59"/>
  <c r="L79" i="3"/>
  <c r="F88" i="59"/>
  <c r="K95" i="3"/>
  <c r="Q79" i="3"/>
  <c r="V49" i="3"/>
  <c r="E48" i="3"/>
  <c r="C49" i="59"/>
  <c r="D123" i="59"/>
  <c r="E104" i="3"/>
  <c r="J72" i="52"/>
  <c r="N104" i="3"/>
  <c r="J143" i="52"/>
  <c r="K143" i="52" s="1"/>
  <c r="Y143" i="52" s="1"/>
  <c r="J42" i="52"/>
  <c r="J40" i="52" s="1"/>
  <c r="W16" i="42"/>
  <c r="W17" i="42" s="1"/>
  <c r="G89" i="3"/>
  <c r="J83" i="52" s="1"/>
  <c r="F100" i="3"/>
  <c r="W10" i="38"/>
  <c r="I107" i="3"/>
  <c r="D107" i="59" s="1"/>
  <c r="J103" i="3"/>
  <c r="G103" i="3"/>
  <c r="W11" i="36"/>
  <c r="V138" i="3"/>
  <c r="E90" i="59"/>
  <c r="F59" i="59"/>
  <c r="F39" i="59"/>
  <c r="G29" i="3"/>
  <c r="Q104" i="3"/>
  <c r="E107" i="59"/>
  <c r="Q101" i="52"/>
  <c r="Q98" i="52" s="1"/>
  <c r="L29" i="3"/>
  <c r="D152" i="59"/>
  <c r="E6" i="59"/>
  <c r="F91" i="59"/>
  <c r="D130" i="3"/>
  <c r="I95" i="3"/>
  <c r="F125" i="59"/>
  <c r="D96" i="59"/>
  <c r="E100" i="59"/>
  <c r="D133" i="59"/>
  <c r="D75" i="59"/>
  <c r="F74" i="3"/>
  <c r="V75" i="3"/>
  <c r="F23" i="59"/>
  <c r="J29" i="3"/>
  <c r="F18" i="59"/>
  <c r="F98" i="59"/>
  <c r="Q134" i="3"/>
  <c r="V11" i="40"/>
  <c r="F58" i="59"/>
  <c r="R129" i="3"/>
  <c r="F77" i="59"/>
  <c r="F63" i="59"/>
  <c r="T129" i="3"/>
  <c r="H116" i="3"/>
  <c r="D84" i="59"/>
  <c r="V84" i="3"/>
  <c r="V99" i="3"/>
  <c r="C99" i="59"/>
  <c r="L103" i="3"/>
  <c r="D33" i="59"/>
  <c r="V33" i="3"/>
  <c r="D48" i="59"/>
  <c r="V117" i="3"/>
  <c r="F76" i="59"/>
  <c r="D47" i="59"/>
  <c r="V47" i="3"/>
  <c r="P142" i="3"/>
  <c r="D137" i="59"/>
  <c r="E123" i="59"/>
  <c r="G142" i="3"/>
  <c r="D143" i="59"/>
  <c r="N142" i="3"/>
  <c r="J129" i="3"/>
  <c r="S129" i="3"/>
  <c r="D151" i="59"/>
  <c r="V151" i="3"/>
  <c r="Q29" i="3"/>
  <c r="V85" i="3"/>
  <c r="J79" i="52"/>
  <c r="D85" i="59"/>
  <c r="F94" i="59"/>
  <c r="E116" i="3"/>
  <c r="W13" i="10"/>
  <c r="J95" i="3"/>
  <c r="F106" i="59"/>
  <c r="D28" i="59"/>
  <c r="I5" i="3"/>
  <c r="Q5" i="3"/>
  <c r="J5" i="3"/>
  <c r="U5" i="3"/>
  <c r="O5" i="3"/>
  <c r="R5" i="3"/>
  <c r="M5" i="3"/>
  <c r="L5" i="3"/>
  <c r="G5" i="3"/>
  <c r="K5" i="3"/>
  <c r="N5" i="3"/>
  <c r="T5" i="3"/>
  <c r="S5" i="3"/>
  <c r="H5" i="3"/>
  <c r="F111" i="59"/>
  <c r="F113" i="59"/>
  <c r="H110" i="3"/>
  <c r="V111" i="3"/>
  <c r="E110" i="59"/>
  <c r="P103" i="3"/>
  <c r="F112" i="59"/>
  <c r="P5" i="3"/>
  <c r="E26" i="59"/>
  <c r="J95" i="52"/>
  <c r="X95" i="52" s="1"/>
  <c r="V28" i="3"/>
  <c r="F26" i="3"/>
  <c r="W13" i="39"/>
  <c r="W14" i="11"/>
  <c r="F9" i="12"/>
  <c r="E57" i="3" s="1"/>
  <c r="J9" i="12"/>
  <c r="I57" i="3" s="1"/>
  <c r="N9" i="12"/>
  <c r="M57" i="3" s="1"/>
  <c r="R9" i="12"/>
  <c r="Q57" i="3" s="1"/>
  <c r="V9" i="12"/>
  <c r="U57" i="3" s="1"/>
  <c r="G9" i="12"/>
  <c r="F57" i="3" s="1"/>
  <c r="K9" i="12"/>
  <c r="J57" i="3" s="1"/>
  <c r="O9" i="12"/>
  <c r="N57" i="3" s="1"/>
  <c r="S9" i="12"/>
  <c r="R57" i="3" s="1"/>
  <c r="E9" i="12"/>
  <c r="D57" i="3" s="1"/>
  <c r="H9" i="12"/>
  <c r="G57" i="3" s="1"/>
  <c r="L9" i="12"/>
  <c r="K57" i="3" s="1"/>
  <c r="P9" i="12"/>
  <c r="O57" i="3" s="1"/>
  <c r="T9" i="12"/>
  <c r="S57" i="3" s="1"/>
  <c r="I9" i="12"/>
  <c r="H57" i="3" s="1"/>
  <c r="M9" i="12"/>
  <c r="L57" i="3" s="1"/>
  <c r="Q9" i="12"/>
  <c r="P57" i="3" s="1"/>
  <c r="U9" i="12"/>
  <c r="T57" i="3" s="1"/>
  <c r="W17" i="8"/>
  <c r="W8" i="38"/>
  <c r="W13" i="38" s="1"/>
  <c r="W10" i="37"/>
  <c r="V101" i="3"/>
  <c r="K18" i="52"/>
  <c r="X18" i="52"/>
  <c r="M18" i="52"/>
  <c r="S111" i="52"/>
  <c r="K60" i="52"/>
  <c r="X59" i="52"/>
  <c r="W12" i="43"/>
  <c r="X67" i="52"/>
  <c r="J60" i="52"/>
  <c r="N60" i="52" s="1"/>
  <c r="X38" i="52"/>
  <c r="D38" i="52"/>
  <c r="Y38" i="52" s="1"/>
  <c r="F38" i="52"/>
  <c r="X65" i="52"/>
  <c r="Q136" i="52"/>
  <c r="C125" i="52"/>
  <c r="T84" i="52"/>
  <c r="U84" i="52" s="1"/>
  <c r="Y51" i="52"/>
  <c r="Q97" i="52"/>
  <c r="T30" i="52"/>
  <c r="U30" i="52" s="1"/>
  <c r="X32" i="52"/>
  <c r="K37" i="52"/>
  <c r="Y37" i="52" s="1"/>
  <c r="X37" i="52"/>
  <c r="X84" i="52"/>
  <c r="K41" i="52"/>
  <c r="M41" i="52"/>
  <c r="O41" i="52"/>
  <c r="X41" i="52"/>
  <c r="F114" i="52"/>
  <c r="AA114" i="52" s="1"/>
  <c r="D114" i="52"/>
  <c r="Y114" i="52" s="1"/>
  <c r="W13" i="20"/>
  <c r="M129" i="52"/>
  <c r="AA129" i="52" s="1"/>
  <c r="K129" i="52"/>
  <c r="Y129" i="52" s="1"/>
  <c r="X129" i="52"/>
  <c r="C8" i="52"/>
  <c r="D8" i="52" s="1"/>
  <c r="J105" i="52"/>
  <c r="Q13" i="52"/>
  <c r="X114" i="52"/>
  <c r="Y59" i="52"/>
  <c r="K138" i="52"/>
  <c r="O138" i="52"/>
  <c r="J137" i="52"/>
  <c r="N137" i="52" s="1"/>
  <c r="X138" i="52"/>
  <c r="K33" i="52"/>
  <c r="Y33" i="52" s="1"/>
  <c r="M33" i="52"/>
  <c r="AA33" i="52" s="1"/>
  <c r="O78" i="52"/>
  <c r="AC78" i="52" s="1"/>
  <c r="M78" i="52"/>
  <c r="AA78" i="52" s="1"/>
  <c r="K78" i="52"/>
  <c r="Y78" i="52" s="1"/>
  <c r="X78" i="52"/>
  <c r="C115" i="52"/>
  <c r="O144" i="52"/>
  <c r="K144" i="52"/>
  <c r="Y144" i="52" s="1"/>
  <c r="X144" i="52"/>
  <c r="AA31" i="52"/>
  <c r="K92" i="52"/>
  <c r="O92" i="52"/>
  <c r="AC92" i="52" s="1"/>
  <c r="M92" i="52"/>
  <c r="AA92" i="52" s="1"/>
  <c r="M76" i="52"/>
  <c r="AA76" i="52" s="1"/>
  <c r="K76" i="52"/>
  <c r="Y76" i="52" s="1"/>
  <c r="O76" i="52"/>
  <c r="M21" i="52"/>
  <c r="K21" i="52"/>
  <c r="J20" i="52"/>
  <c r="X21" i="52"/>
  <c r="K8" i="52"/>
  <c r="M69" i="52"/>
  <c r="K69" i="52"/>
  <c r="X69" i="52"/>
  <c r="F127" i="52"/>
  <c r="D127" i="52"/>
  <c r="K25" i="52"/>
  <c r="Y25" i="52" s="1"/>
  <c r="O25" i="52"/>
  <c r="AC25" i="52" s="1"/>
  <c r="M25" i="52"/>
  <c r="AA25" i="52" s="1"/>
  <c r="X25" i="52"/>
  <c r="D91" i="52"/>
  <c r="C90" i="52"/>
  <c r="C89" i="52" s="1"/>
  <c r="F91" i="52"/>
  <c r="X91" i="52"/>
  <c r="C13" i="52"/>
  <c r="D19" i="52"/>
  <c r="Y19" i="52" s="1"/>
  <c r="X19" i="52"/>
  <c r="K120" i="52"/>
  <c r="Y120" i="52" s="1"/>
  <c r="X120" i="52"/>
  <c r="C50" i="52"/>
  <c r="X50" i="52" s="1"/>
  <c r="O152" i="52"/>
  <c r="AC152" i="52" s="1"/>
  <c r="M152" i="52"/>
  <c r="K152" i="52"/>
  <c r="Y152" i="52" s="1"/>
  <c r="K42" i="52"/>
  <c r="Y42" i="52" s="1"/>
  <c r="AC134" i="52"/>
  <c r="AC132" i="52" s="1"/>
  <c r="O132" i="52"/>
  <c r="P132" i="52" s="1"/>
  <c r="V104" i="52"/>
  <c r="W104" i="52" s="1"/>
  <c r="AC106" i="52"/>
  <c r="AC104" i="52" s="1"/>
  <c r="M24" i="52"/>
  <c r="AA24" i="52" s="1"/>
  <c r="O24" i="52"/>
  <c r="AC24" i="52" s="1"/>
  <c r="K24" i="52"/>
  <c r="Y24" i="52" s="1"/>
  <c r="D113" i="52"/>
  <c r="Y113" i="52" s="1"/>
  <c r="X113" i="52"/>
  <c r="K132" i="52"/>
  <c r="L132" i="52" s="1"/>
  <c r="Y133" i="52"/>
  <c r="J130" i="52"/>
  <c r="C11" i="52"/>
  <c r="D11" i="52" s="1"/>
  <c r="D63" i="52"/>
  <c r="Y63" i="52" s="1"/>
  <c r="F63" i="52"/>
  <c r="K145" i="52"/>
  <c r="Y145" i="52" s="1"/>
  <c r="M145" i="52"/>
  <c r="AA145" i="52" s="1"/>
  <c r="X145" i="52"/>
  <c r="J13" i="52"/>
  <c r="R20" i="52"/>
  <c r="S20" i="52" s="1"/>
  <c r="O117" i="52"/>
  <c r="AC121" i="52"/>
  <c r="AC117" i="52" s="1"/>
  <c r="K75" i="52"/>
  <c r="M75" i="52"/>
  <c r="X75" i="52"/>
  <c r="S98" i="52"/>
  <c r="W30" i="52"/>
  <c r="Q29" i="52"/>
  <c r="O85" i="52"/>
  <c r="M85" i="52"/>
  <c r="K85" i="52"/>
  <c r="J84" i="52"/>
  <c r="K153" i="52"/>
  <c r="Y153" i="52" s="1"/>
  <c r="X153" i="52"/>
  <c r="F58" i="52"/>
  <c r="D58" i="52"/>
  <c r="X58" i="52"/>
  <c r="F102" i="52"/>
  <c r="AA102" i="52" s="1"/>
  <c r="D102" i="52"/>
  <c r="Y102" i="52" s="1"/>
  <c r="X102" i="52"/>
  <c r="C30" i="52"/>
  <c r="D31" i="52"/>
  <c r="F135" i="52"/>
  <c r="D135" i="52"/>
  <c r="X135" i="52"/>
  <c r="X132" i="52" s="1"/>
  <c r="C132" i="52"/>
  <c r="M107" i="52"/>
  <c r="AA107" i="52" s="1"/>
  <c r="K107" i="52"/>
  <c r="Y107" i="52" s="1"/>
  <c r="M50" i="52"/>
  <c r="AA50" i="52" s="1"/>
  <c r="K50" i="52"/>
  <c r="C49" i="52"/>
  <c r="X49" i="52" s="1"/>
  <c r="M36" i="52"/>
  <c r="AA36" i="52" s="1"/>
  <c r="K36" i="52"/>
  <c r="Y36" i="52" s="1"/>
  <c r="X36" i="52"/>
  <c r="K100" i="52"/>
  <c r="Y100" i="52" s="1"/>
  <c r="M100" i="52"/>
  <c r="AA100" i="52" s="1"/>
  <c r="C112" i="52"/>
  <c r="C14" i="52"/>
  <c r="M56" i="52"/>
  <c r="K56" i="52"/>
  <c r="X56" i="52"/>
  <c r="Q110" i="52"/>
  <c r="D27" i="52"/>
  <c r="C26" i="52"/>
  <c r="J90" i="52"/>
  <c r="V96" i="52"/>
  <c r="T96" i="52"/>
  <c r="T94" i="52" s="1"/>
  <c r="R96" i="52"/>
  <c r="R94" i="52" s="1"/>
  <c r="Q94" i="52"/>
  <c r="Q89" i="52" s="1"/>
  <c r="C149" i="52"/>
  <c r="C136" i="52" s="1"/>
  <c r="D150" i="52"/>
  <c r="K80" i="52"/>
  <c r="M80" i="52"/>
  <c r="O80" i="52"/>
  <c r="AC80" i="52" s="1"/>
  <c r="X80" i="52"/>
  <c r="AA118" i="52"/>
  <c r="R117" i="52"/>
  <c r="X152" i="52"/>
  <c r="C119" i="52"/>
  <c r="S74" i="52"/>
  <c r="M119" i="52"/>
  <c r="M117" i="52" s="1"/>
  <c r="K119" i="52"/>
  <c r="J15" i="52"/>
  <c r="M23" i="52"/>
  <c r="AA23" i="52" s="1"/>
  <c r="K23" i="52"/>
  <c r="Y23" i="52" s="1"/>
  <c r="O23" i="52"/>
  <c r="K151" i="52"/>
  <c r="Y151" i="52" s="1"/>
  <c r="O151" i="52"/>
  <c r="X151" i="52"/>
  <c r="O47" i="52"/>
  <c r="AC47" i="52" s="1"/>
  <c r="K47" i="52"/>
  <c r="Y47" i="52" s="1"/>
  <c r="M47" i="52"/>
  <c r="AA47" i="52" s="1"/>
  <c r="X47" i="52"/>
  <c r="K44" i="52"/>
  <c r="Y44" i="52" s="1"/>
  <c r="X44" i="52"/>
  <c r="D80" i="52"/>
  <c r="F80" i="52"/>
  <c r="C74" i="52"/>
  <c r="C73" i="52" s="1"/>
  <c r="X51" i="52"/>
  <c r="D61" i="52"/>
  <c r="C60" i="52"/>
  <c r="X61" i="52"/>
  <c r="Q7" i="52"/>
  <c r="X143" i="52"/>
  <c r="J149" i="52"/>
  <c r="K148" i="52"/>
  <c r="Y148" i="52" s="1"/>
  <c r="X148" i="52"/>
  <c r="X146" i="52" s="1"/>
  <c r="D17" i="52"/>
  <c r="C16" i="52"/>
  <c r="F17" i="52"/>
  <c r="X17" i="52"/>
  <c r="O86" i="52"/>
  <c r="AC86" i="52" s="1"/>
  <c r="M86" i="52"/>
  <c r="AA86" i="52" s="1"/>
  <c r="K86" i="52"/>
  <c r="Y86" i="52" s="1"/>
  <c r="O88" i="52"/>
  <c r="AC88" i="52" s="1"/>
  <c r="M88" i="52"/>
  <c r="AA88" i="52" s="1"/>
  <c r="K88" i="52"/>
  <c r="Y88" i="52" s="1"/>
  <c r="J70" i="52"/>
  <c r="M106" i="52"/>
  <c r="K106" i="52"/>
  <c r="Y106" i="52" s="1"/>
  <c r="T20" i="52"/>
  <c r="U20" i="52" s="1"/>
  <c r="J128" i="52"/>
  <c r="X63" i="52"/>
  <c r="V84" i="52"/>
  <c r="W84" i="52" s="1"/>
  <c r="J117" i="52"/>
  <c r="J110" i="52" s="1"/>
  <c r="J9" i="52"/>
  <c r="X77" i="52"/>
  <c r="C99" i="52"/>
  <c r="X42" i="52"/>
  <c r="AA133" i="52"/>
  <c r="M132" i="52"/>
  <c r="N132" i="52" s="1"/>
  <c r="J7" i="52"/>
  <c r="V20" i="52"/>
  <c r="W20" i="52" s="1"/>
  <c r="U98" i="52"/>
  <c r="X24" i="52"/>
  <c r="K71" i="52"/>
  <c r="Y71" i="52" s="1"/>
  <c r="X71" i="52"/>
  <c r="O87" i="52"/>
  <c r="AC87" i="52" s="1"/>
  <c r="M87" i="52"/>
  <c r="AA87" i="52" s="1"/>
  <c r="K87" i="52"/>
  <c r="Y87" i="52" s="1"/>
  <c r="K72" i="52"/>
  <c r="Y72" i="52" s="1"/>
  <c r="X72" i="52"/>
  <c r="R30" i="52"/>
  <c r="S30" i="52" s="1"/>
  <c r="R84" i="52"/>
  <c r="S84" i="52" s="1"/>
  <c r="J99" i="52"/>
  <c r="K147" i="52"/>
  <c r="M147" i="52"/>
  <c r="J146" i="52"/>
  <c r="M28" i="52"/>
  <c r="K28" i="52"/>
  <c r="Y28" i="52" s="1"/>
  <c r="X28" i="52"/>
  <c r="X26" i="52" s="1"/>
  <c r="L111" i="52"/>
  <c r="X92" i="52"/>
  <c r="K53" i="52"/>
  <c r="Y53" i="52" s="1"/>
  <c r="M53" i="52"/>
  <c r="AA53" i="52" s="1"/>
  <c r="X53" i="52"/>
  <c r="X45" i="52"/>
  <c r="M22" i="52"/>
  <c r="AA22" i="52" s="1"/>
  <c r="K22" i="52"/>
  <c r="Y22" i="52" s="1"/>
  <c r="X22" i="52"/>
  <c r="J96" i="52"/>
  <c r="K11" i="52"/>
  <c r="O11" i="52"/>
  <c r="AC11" i="52" s="1"/>
  <c r="J81" i="52"/>
  <c r="C7" i="52"/>
  <c r="O90" i="52"/>
  <c r="P90" i="52" s="1"/>
  <c r="AC91" i="52"/>
  <c r="O82" i="52"/>
  <c r="AC82" i="52" s="1"/>
  <c r="M82" i="52"/>
  <c r="AA82" i="52" s="1"/>
  <c r="K82" i="52"/>
  <c r="Y82" i="52" s="1"/>
  <c r="X82" i="52"/>
  <c r="K49" i="52"/>
  <c r="M49" i="52"/>
  <c r="J48" i="52"/>
  <c r="J10" i="52"/>
  <c r="F103" i="52"/>
  <c r="AA103" i="52" s="1"/>
  <c r="D103" i="52"/>
  <c r="Y103" i="52" s="1"/>
  <c r="U117" i="52"/>
  <c r="X150" i="52"/>
  <c r="J142" i="52"/>
  <c r="K139" i="52"/>
  <c r="Y139" i="52" s="1"/>
  <c r="O139" i="52"/>
  <c r="AC139" i="52" s="1"/>
  <c r="X139" i="52"/>
  <c r="R104" i="52"/>
  <c r="S104" i="52" s="1"/>
  <c r="U74" i="52"/>
  <c r="D93" i="52"/>
  <c r="Y93" i="52" s="1"/>
  <c r="F93" i="52"/>
  <c r="AA93" i="52" s="1"/>
  <c r="Q95" i="3" l="1"/>
  <c r="K77" i="52"/>
  <c r="Y77" i="52" s="1"/>
  <c r="F28" i="59"/>
  <c r="K95" i="52"/>
  <c r="M42" i="52"/>
  <c r="AA42" i="52" s="1"/>
  <c r="X8" i="52"/>
  <c r="D130" i="59"/>
  <c r="F107" i="59"/>
  <c r="M129" i="3"/>
  <c r="F31" i="59"/>
  <c r="F14" i="59"/>
  <c r="R103" i="3"/>
  <c r="C79" i="59"/>
  <c r="D34" i="59"/>
  <c r="V34" i="3"/>
  <c r="F30" i="3"/>
  <c r="J34" i="52"/>
  <c r="W11" i="26"/>
  <c r="W12" i="26" s="1"/>
  <c r="W13" i="43"/>
  <c r="W14" i="43" s="1"/>
  <c r="J101" i="52"/>
  <c r="J98" i="52" s="1"/>
  <c r="X96" i="52"/>
  <c r="AA106" i="52"/>
  <c r="X16" i="52"/>
  <c r="M143" i="52"/>
  <c r="K117" i="52"/>
  <c r="M95" i="52"/>
  <c r="V100" i="3"/>
  <c r="T55" i="3"/>
  <c r="S55" i="3"/>
  <c r="C57" i="59"/>
  <c r="V57" i="3"/>
  <c r="D55" i="3"/>
  <c r="C57" i="52"/>
  <c r="D57" i="59"/>
  <c r="J57" i="52"/>
  <c r="J55" i="52" s="1"/>
  <c r="P55" i="52" s="1"/>
  <c r="F55" i="3"/>
  <c r="I55" i="3"/>
  <c r="V110" i="3"/>
  <c r="F143" i="59"/>
  <c r="F137" i="59"/>
  <c r="F33" i="59"/>
  <c r="F99" i="59"/>
  <c r="U134" i="3"/>
  <c r="Q128" i="52" s="1"/>
  <c r="X128" i="52" s="1"/>
  <c r="W11" i="40"/>
  <c r="W15" i="40" s="1"/>
  <c r="V74" i="3"/>
  <c r="F152" i="59"/>
  <c r="D89" i="59"/>
  <c r="V89" i="3"/>
  <c r="V48" i="3"/>
  <c r="V12" i="3"/>
  <c r="W12" i="24"/>
  <c r="W13" i="24" s="1"/>
  <c r="D95" i="3"/>
  <c r="C100" i="59"/>
  <c r="F16" i="59"/>
  <c r="D40" i="59"/>
  <c r="F79" i="3"/>
  <c r="F78" i="59"/>
  <c r="C6" i="59"/>
  <c r="D5" i="3"/>
  <c r="V60" i="3"/>
  <c r="D116" i="3"/>
  <c r="C117" i="59"/>
  <c r="V147" i="3"/>
  <c r="F157" i="59"/>
  <c r="V30" i="3"/>
  <c r="F19" i="59"/>
  <c r="K14" i="52"/>
  <c r="O14" i="52"/>
  <c r="AC14" i="52" s="1"/>
  <c r="X126" i="52"/>
  <c r="D126" i="52"/>
  <c r="Y126" i="52" s="1"/>
  <c r="V96" i="3"/>
  <c r="W14" i="21"/>
  <c r="W15" i="21" s="1"/>
  <c r="D45" i="52"/>
  <c r="C40" i="52"/>
  <c r="G40" i="52" s="1"/>
  <c r="F51" i="59"/>
  <c r="V6" i="3"/>
  <c r="E95" i="59"/>
  <c r="H55" i="3"/>
  <c r="G55" i="3"/>
  <c r="J55" i="3"/>
  <c r="M55" i="3"/>
  <c r="O79" i="52"/>
  <c r="AC79" i="52" s="1"/>
  <c r="X79" i="52"/>
  <c r="K79" i="52"/>
  <c r="Y79" i="52" s="1"/>
  <c r="M79" i="52"/>
  <c r="AA79" i="52" s="1"/>
  <c r="F47" i="59"/>
  <c r="V116" i="3"/>
  <c r="W14" i="20"/>
  <c r="W15" i="20" s="1"/>
  <c r="D129" i="3"/>
  <c r="C130" i="59"/>
  <c r="F95" i="3"/>
  <c r="D100" i="59"/>
  <c r="E103" i="3"/>
  <c r="C48" i="59"/>
  <c r="F13" i="59"/>
  <c r="I129" i="3"/>
  <c r="V67" i="3"/>
  <c r="V40" i="3"/>
  <c r="F136" i="59"/>
  <c r="F21" i="59"/>
  <c r="F64" i="59"/>
  <c r="E57" i="59"/>
  <c r="P55" i="3"/>
  <c r="Q57" i="52"/>
  <c r="O55" i="3"/>
  <c r="R55" i="3"/>
  <c r="U55" i="3"/>
  <c r="E55" i="3"/>
  <c r="E142" i="59"/>
  <c r="F84" i="59"/>
  <c r="E134" i="59"/>
  <c r="Q130" i="3"/>
  <c r="V134" i="3"/>
  <c r="D74" i="59"/>
  <c r="F133" i="59"/>
  <c r="I104" i="3"/>
  <c r="C104" i="59"/>
  <c r="F101" i="59"/>
  <c r="C67" i="59"/>
  <c r="F41" i="59"/>
  <c r="F42" i="59"/>
  <c r="F50" i="59"/>
  <c r="V20" i="3"/>
  <c r="C60" i="59"/>
  <c r="F155" i="59"/>
  <c r="D147" i="59"/>
  <c r="F142" i="3"/>
  <c r="H129" i="3"/>
  <c r="D29" i="3"/>
  <c r="C30" i="59"/>
  <c r="D12" i="59"/>
  <c r="F97" i="59"/>
  <c r="F45" i="59"/>
  <c r="E29" i="3"/>
  <c r="F7" i="59"/>
  <c r="G129" i="3"/>
  <c r="F83" i="59"/>
  <c r="V16" i="3"/>
  <c r="AC90" i="52"/>
  <c r="S117" i="52"/>
  <c r="Y92" i="52"/>
  <c r="L55" i="3"/>
  <c r="K55" i="3"/>
  <c r="N55" i="3"/>
  <c r="Q55" i="3"/>
  <c r="E103" i="59"/>
  <c r="F85" i="59"/>
  <c r="F151" i="59"/>
  <c r="V155" i="3"/>
  <c r="F75" i="59"/>
  <c r="D104" i="59"/>
  <c r="W12" i="41"/>
  <c r="W13" i="41" s="1"/>
  <c r="F49" i="59"/>
  <c r="C103" i="59"/>
  <c r="F138" i="59"/>
  <c r="M127" i="52"/>
  <c r="AA127" i="52" s="1"/>
  <c r="K127" i="52"/>
  <c r="Y127" i="52" s="1"/>
  <c r="O127" i="52"/>
  <c r="AC127" i="52" s="1"/>
  <c r="F71" i="59"/>
  <c r="F123" i="59"/>
  <c r="F90" i="59"/>
  <c r="F17" i="59"/>
  <c r="F135" i="59"/>
  <c r="E116" i="59"/>
  <c r="E79" i="59"/>
  <c r="D20" i="59"/>
  <c r="F8" i="59"/>
  <c r="E104" i="59"/>
  <c r="C142" i="59"/>
  <c r="F148" i="59"/>
  <c r="F149" i="59"/>
  <c r="F132" i="59"/>
  <c r="E29" i="59"/>
  <c r="C96" i="59"/>
  <c r="X127" i="52"/>
  <c r="C40" i="59"/>
  <c r="D116" i="59"/>
  <c r="F87" i="59"/>
  <c r="E5" i="3"/>
  <c r="F119" i="59"/>
  <c r="F102" i="59"/>
  <c r="G80" i="3"/>
  <c r="V107" i="3"/>
  <c r="N103" i="3"/>
  <c r="V26" i="3"/>
  <c r="W14" i="39"/>
  <c r="W15" i="39" s="1"/>
  <c r="H103" i="3"/>
  <c r="D110" i="59"/>
  <c r="F5" i="3"/>
  <c r="D26" i="59"/>
  <c r="E5" i="59"/>
  <c r="W11" i="35"/>
  <c r="W12" i="35" s="1"/>
  <c r="W9" i="12"/>
  <c r="W12" i="12" s="1"/>
  <c r="M16" i="52"/>
  <c r="N16" i="52" s="1"/>
  <c r="AA18" i="52"/>
  <c r="K16" i="52"/>
  <c r="L16" i="52" s="1"/>
  <c r="Y18" i="52"/>
  <c r="X149" i="52"/>
  <c r="X48" i="52"/>
  <c r="L60" i="52"/>
  <c r="X11" i="52"/>
  <c r="AA38" i="52"/>
  <c r="F30" i="52"/>
  <c r="G30" i="52" s="1"/>
  <c r="J74" i="52"/>
  <c r="J73" i="52" s="1"/>
  <c r="K26" i="52"/>
  <c r="L26" i="52" s="1"/>
  <c r="X125" i="52"/>
  <c r="D125" i="52"/>
  <c r="Y125" i="52" s="1"/>
  <c r="L117" i="52"/>
  <c r="K90" i="52"/>
  <c r="L90" i="52" s="1"/>
  <c r="C124" i="52"/>
  <c r="C123" i="52" s="1"/>
  <c r="N117" i="52"/>
  <c r="K142" i="52"/>
  <c r="J141" i="52"/>
  <c r="J136" i="52" s="1"/>
  <c r="X142" i="52"/>
  <c r="X141" i="52" s="1"/>
  <c r="K10" i="52"/>
  <c r="Y10" i="52" s="1"/>
  <c r="O10" i="52"/>
  <c r="AC10" i="52" s="1"/>
  <c r="M10" i="52"/>
  <c r="AA10" i="52" s="1"/>
  <c r="X10" i="52"/>
  <c r="AA49" i="52"/>
  <c r="AA48" i="52" s="1"/>
  <c r="M48" i="52"/>
  <c r="N48" i="52" s="1"/>
  <c r="K48" i="52"/>
  <c r="L48" i="52" s="1"/>
  <c r="O7" i="52"/>
  <c r="J6" i="52"/>
  <c r="M7" i="52"/>
  <c r="K7" i="52"/>
  <c r="K70" i="52"/>
  <c r="Y70" i="52" s="1"/>
  <c r="M70" i="52"/>
  <c r="AA70" i="52" s="1"/>
  <c r="X70" i="52"/>
  <c r="X68" i="52" s="1"/>
  <c r="Y61" i="52"/>
  <c r="Y60" i="52" s="1"/>
  <c r="D60" i="52"/>
  <c r="E60" i="52" s="1"/>
  <c r="AC23" i="52"/>
  <c r="AC20" i="52" s="1"/>
  <c r="O20" i="52"/>
  <c r="P20" i="52" s="1"/>
  <c r="F119" i="52"/>
  <c r="D119" i="52"/>
  <c r="C117" i="52"/>
  <c r="X119" i="52"/>
  <c r="X117" i="52" s="1"/>
  <c r="AD117" i="52" s="1"/>
  <c r="Y150" i="52"/>
  <c r="Y149" i="52" s="1"/>
  <c r="D149" i="52"/>
  <c r="E149" i="52" s="1"/>
  <c r="F112" i="52"/>
  <c r="D112" i="52"/>
  <c r="C111" i="52"/>
  <c r="X112" i="52"/>
  <c r="AA95" i="52"/>
  <c r="F132" i="52"/>
  <c r="G132" i="52" s="1"/>
  <c r="AA135" i="52"/>
  <c r="AA132" i="52" s="1"/>
  <c r="AB132" i="52" s="1"/>
  <c r="Y58" i="52"/>
  <c r="Y85" i="52"/>
  <c r="Y84" i="52" s="1"/>
  <c r="Z84" i="52" s="1"/>
  <c r="K84" i="52"/>
  <c r="L84" i="52" s="1"/>
  <c r="Y11" i="52"/>
  <c r="M130" i="52"/>
  <c r="AA130" i="52" s="1"/>
  <c r="K130" i="52"/>
  <c r="Y130" i="52" s="1"/>
  <c r="O130" i="52"/>
  <c r="X130" i="52"/>
  <c r="H50" i="52"/>
  <c r="D50" i="52"/>
  <c r="Y50" i="52" s="1"/>
  <c r="C12" i="52"/>
  <c r="D13" i="52"/>
  <c r="X90" i="52"/>
  <c r="AA69" i="52"/>
  <c r="M20" i="52"/>
  <c r="N20" i="52" s="1"/>
  <c r="AA21" i="52"/>
  <c r="AA20" i="52" s="1"/>
  <c r="K149" i="52"/>
  <c r="L149" i="52" s="1"/>
  <c r="AC138" i="52"/>
  <c r="AC137" i="52" s="1"/>
  <c r="O137" i="52"/>
  <c r="P137" i="52" s="1"/>
  <c r="M105" i="52"/>
  <c r="K105" i="52"/>
  <c r="J104" i="52"/>
  <c r="X105" i="52"/>
  <c r="X104" i="52" s="1"/>
  <c r="AD104" i="52" s="1"/>
  <c r="Y8" i="52"/>
  <c r="AA41" i="52"/>
  <c r="AA40" i="52" s="1"/>
  <c r="M40" i="52"/>
  <c r="N40" i="52" s="1"/>
  <c r="O99" i="52"/>
  <c r="M99" i="52"/>
  <c r="K99" i="52"/>
  <c r="X99" i="52"/>
  <c r="F99" i="52"/>
  <c r="D99" i="52"/>
  <c r="C98" i="52"/>
  <c r="C97" i="52" s="1"/>
  <c r="M9" i="52"/>
  <c r="AA9" i="52" s="1"/>
  <c r="K9" i="52"/>
  <c r="Y9" i="52" s="1"/>
  <c r="X9" i="52"/>
  <c r="D16" i="52"/>
  <c r="E16" i="52" s="1"/>
  <c r="Y17" i="52"/>
  <c r="AA80" i="52"/>
  <c r="F74" i="52"/>
  <c r="G74" i="52" s="1"/>
  <c r="O149" i="52"/>
  <c r="P149" i="52" s="1"/>
  <c r="AC151" i="52"/>
  <c r="AC149" i="52" s="1"/>
  <c r="AD149" i="52" s="1"/>
  <c r="U94" i="52"/>
  <c r="Y27" i="52"/>
  <c r="Y26" i="52" s="1"/>
  <c r="Z26" i="52" s="1"/>
  <c r="D26" i="52"/>
  <c r="E26" i="52" s="1"/>
  <c r="K55" i="52"/>
  <c r="L55" i="52" s="1"/>
  <c r="Y56" i="52"/>
  <c r="X94" i="52"/>
  <c r="D49" i="52"/>
  <c r="C48" i="52"/>
  <c r="G48" i="52" s="1"/>
  <c r="AA58" i="52"/>
  <c r="AA85" i="52"/>
  <c r="AA84" i="52" s="1"/>
  <c r="AB84" i="52" s="1"/>
  <c r="M84" i="52"/>
  <c r="N84" i="52" s="1"/>
  <c r="AC110" i="52"/>
  <c r="AA91" i="52"/>
  <c r="AA90" i="52" s="1"/>
  <c r="F90" i="52"/>
  <c r="G90" i="52" s="1"/>
  <c r="F124" i="52"/>
  <c r="J68" i="52"/>
  <c r="J54" i="52" s="1"/>
  <c r="X20" i="52"/>
  <c r="AC76" i="52"/>
  <c r="AC144" i="52"/>
  <c r="AC141" i="52" s="1"/>
  <c r="O141" i="52"/>
  <c r="D115" i="52"/>
  <c r="Y115" i="52" s="1"/>
  <c r="X115" i="52"/>
  <c r="Y138" i="52"/>
  <c r="Y137" i="52" s="1"/>
  <c r="K137" i="52"/>
  <c r="L137" i="52" s="1"/>
  <c r="V13" i="52"/>
  <c r="V12" i="52" s="1"/>
  <c r="Q12" i="52"/>
  <c r="U12" i="52" s="1"/>
  <c r="R13" i="52"/>
  <c r="R12" i="52" s="1"/>
  <c r="X13" i="52"/>
  <c r="X40" i="52"/>
  <c r="Y41" i="52"/>
  <c r="K40" i="52"/>
  <c r="L40" i="52" s="1"/>
  <c r="C6" i="52"/>
  <c r="F7" i="52"/>
  <c r="D7" i="52"/>
  <c r="M81" i="52"/>
  <c r="AA81" i="52" s="1"/>
  <c r="O81" i="52"/>
  <c r="AC81" i="52" s="1"/>
  <c r="K81" i="52"/>
  <c r="Y81" i="52" s="1"/>
  <c r="X81" i="52"/>
  <c r="K96" i="52"/>
  <c r="Y96" i="52" s="1"/>
  <c r="M96" i="52"/>
  <c r="AA96" i="52" s="1"/>
  <c r="AA28" i="52"/>
  <c r="AA26" i="52" s="1"/>
  <c r="AB26" i="52" s="1"/>
  <c r="M26" i="52"/>
  <c r="N26" i="52" s="1"/>
  <c r="AA147" i="52"/>
  <c r="AA146" i="52" s="1"/>
  <c r="AB146" i="52" s="1"/>
  <c r="M146" i="52"/>
  <c r="N146" i="52" s="1"/>
  <c r="M141" i="52"/>
  <c r="AA143" i="52"/>
  <c r="AA141" i="52" s="1"/>
  <c r="R7" i="52"/>
  <c r="R6" i="52" s="1"/>
  <c r="Q6" i="52"/>
  <c r="T7" i="52"/>
  <c r="T6" i="52" s="1"/>
  <c r="X7" i="52"/>
  <c r="X60" i="52"/>
  <c r="Y80" i="52"/>
  <c r="D74" i="52"/>
  <c r="E74" i="52" s="1"/>
  <c r="V94" i="52"/>
  <c r="W94" i="52" s="1"/>
  <c r="AC96" i="52"/>
  <c r="AC94" i="52" s="1"/>
  <c r="M55" i="52"/>
  <c r="N55" i="52" s="1"/>
  <c r="AA56" i="52"/>
  <c r="D14" i="52"/>
  <c r="F14" i="52"/>
  <c r="X14" i="52"/>
  <c r="J94" i="52"/>
  <c r="J89" i="52" s="1"/>
  <c r="Y31" i="52"/>
  <c r="D30" i="52"/>
  <c r="E30" i="52" s="1"/>
  <c r="I30" i="52" s="1"/>
  <c r="O84" i="52"/>
  <c r="P84" i="52" s="1"/>
  <c r="AC85" i="52"/>
  <c r="AC84" i="52" s="1"/>
  <c r="AD84" i="52" s="1"/>
  <c r="AA75" i="52"/>
  <c r="P117" i="52"/>
  <c r="O13" i="52"/>
  <c r="K13" i="52"/>
  <c r="J12" i="52"/>
  <c r="AD132" i="52"/>
  <c r="X137" i="52"/>
  <c r="M90" i="52"/>
  <c r="N90" i="52" s="1"/>
  <c r="K83" i="52"/>
  <c r="Y83" i="52" s="1"/>
  <c r="M83" i="52"/>
  <c r="AA83" i="52" s="1"/>
  <c r="X83" i="52"/>
  <c r="Y147" i="52"/>
  <c r="Y146" i="52" s="1"/>
  <c r="Z146" i="52" s="1"/>
  <c r="K146" i="52"/>
  <c r="L146" i="52" s="1"/>
  <c r="M128" i="52"/>
  <c r="K128" i="52"/>
  <c r="J124" i="52"/>
  <c r="J123" i="52" s="1"/>
  <c r="AA17" i="52"/>
  <c r="AA16" i="52" s="1"/>
  <c r="F16" i="52"/>
  <c r="G16" i="52" s="1"/>
  <c r="I60" i="52"/>
  <c r="M15" i="52"/>
  <c r="K15" i="52"/>
  <c r="Y15" i="52" s="1"/>
  <c r="X15" i="52"/>
  <c r="S94" i="52"/>
  <c r="Y95" i="52"/>
  <c r="Y135" i="52"/>
  <c r="Y132" i="52" s="1"/>
  <c r="Z132" i="52" s="1"/>
  <c r="D132" i="52"/>
  <c r="E132" i="52" s="1"/>
  <c r="Y75" i="52"/>
  <c r="F60" i="52"/>
  <c r="G60" i="52" s="1"/>
  <c r="AA63" i="52"/>
  <c r="AA60" i="52" s="1"/>
  <c r="M149" i="52"/>
  <c r="N149" i="52" s="1"/>
  <c r="AA152" i="52"/>
  <c r="AA149" i="52" s="1"/>
  <c r="Y91" i="52"/>
  <c r="Y90" i="52" s="1"/>
  <c r="D90" i="52"/>
  <c r="E90" i="52" s="1"/>
  <c r="Y69" i="52"/>
  <c r="Y21" i="52"/>
  <c r="Y20" i="52" s="1"/>
  <c r="K20" i="52"/>
  <c r="L20" i="52" s="1"/>
  <c r="AC41" i="52"/>
  <c r="AC40" i="52" s="1"/>
  <c r="O40" i="52"/>
  <c r="P40" i="52" s="1"/>
  <c r="AB16" i="52" l="1"/>
  <c r="Y14" i="52"/>
  <c r="AB149" i="52"/>
  <c r="W13" i="27"/>
  <c r="W14" i="27" s="1"/>
  <c r="F147" i="59"/>
  <c r="F104" i="59"/>
  <c r="E55" i="59"/>
  <c r="P54" i="3"/>
  <c r="W12" i="36"/>
  <c r="W13" i="36" s="1"/>
  <c r="W18" i="8"/>
  <c r="W19" i="8" s="1"/>
  <c r="V29" i="3"/>
  <c r="F117" i="59"/>
  <c r="F100" i="59"/>
  <c r="W14" i="10"/>
  <c r="W15" i="10" s="1"/>
  <c r="I54" i="3"/>
  <c r="V55" i="3"/>
  <c r="W11" i="37"/>
  <c r="W12" i="37" s="1"/>
  <c r="F34" i="59"/>
  <c r="AD90" i="52"/>
  <c r="G79" i="3"/>
  <c r="F20" i="59"/>
  <c r="Q54" i="3"/>
  <c r="K54" i="3"/>
  <c r="W12" i="33"/>
  <c r="W13" i="33" s="1"/>
  <c r="F60" i="59"/>
  <c r="F12" i="59"/>
  <c r="U54" i="3"/>
  <c r="O54" i="3"/>
  <c r="W16" i="9"/>
  <c r="W17" i="9" s="1"/>
  <c r="F48" i="59"/>
  <c r="M54" i="3"/>
  <c r="G54" i="3"/>
  <c r="D40" i="52"/>
  <c r="E40" i="52" s="1"/>
  <c r="I40" i="52" s="1"/>
  <c r="Y45" i="52"/>
  <c r="W13" i="25"/>
  <c r="W14" i="25" s="1"/>
  <c r="C116" i="59"/>
  <c r="W116" i="3"/>
  <c r="X116" i="3" s="1"/>
  <c r="C5" i="59"/>
  <c r="F57" i="59"/>
  <c r="T54" i="3"/>
  <c r="X34" i="52"/>
  <c r="X30" i="52" s="1"/>
  <c r="X29" i="52" s="1"/>
  <c r="K34" i="52"/>
  <c r="J30" i="52"/>
  <c r="M34" i="52"/>
  <c r="F134" i="59"/>
  <c r="W14" i="31"/>
  <c r="W15" i="31" s="1"/>
  <c r="W13" i="13"/>
  <c r="W14" i="13" s="1"/>
  <c r="Y40" i="52"/>
  <c r="Z40" i="52" s="1"/>
  <c r="V95" i="3"/>
  <c r="V104" i="3"/>
  <c r="F96" i="59"/>
  <c r="C29" i="59"/>
  <c r="F67" i="59"/>
  <c r="Q129" i="3"/>
  <c r="W15" i="58"/>
  <c r="W16" i="58" s="1"/>
  <c r="F6" i="59"/>
  <c r="D79" i="59"/>
  <c r="C95" i="59"/>
  <c r="W95" i="3"/>
  <c r="V80" i="3"/>
  <c r="D55" i="59"/>
  <c r="F54" i="3"/>
  <c r="D57" i="52"/>
  <c r="C55" i="52"/>
  <c r="D30" i="59"/>
  <c r="F29" i="3"/>
  <c r="Z149" i="52"/>
  <c r="F40" i="59"/>
  <c r="N54" i="3"/>
  <c r="L54" i="3"/>
  <c r="D142" i="59"/>
  <c r="W14" i="34"/>
  <c r="W15" i="34" s="1"/>
  <c r="I103" i="3"/>
  <c r="F74" i="59"/>
  <c r="E54" i="3"/>
  <c r="R54" i="3"/>
  <c r="Q55" i="52"/>
  <c r="Q54" i="52" s="1"/>
  <c r="X57" i="52"/>
  <c r="X55" i="52" s="1"/>
  <c r="X54" i="52" s="1"/>
  <c r="D95" i="59"/>
  <c r="C129" i="59"/>
  <c r="J54" i="3"/>
  <c r="H54" i="3"/>
  <c r="W15" i="11"/>
  <c r="W16" i="11" s="1"/>
  <c r="D80" i="59"/>
  <c r="V130" i="3"/>
  <c r="V142" i="3"/>
  <c r="F89" i="59"/>
  <c r="U130" i="3"/>
  <c r="D54" i="3"/>
  <c r="C55" i="59"/>
  <c r="S54" i="3"/>
  <c r="D129" i="59"/>
  <c r="X101" i="52"/>
  <c r="X98" i="52" s="1"/>
  <c r="X97" i="52" s="1"/>
  <c r="K101" i="52"/>
  <c r="Y101" i="52" s="1"/>
  <c r="M101" i="52"/>
  <c r="AA101" i="52" s="1"/>
  <c r="V5" i="3"/>
  <c r="W5" i="3"/>
  <c r="D5" i="59"/>
  <c r="W103" i="3"/>
  <c r="H160" i="3"/>
  <c r="F110" i="59"/>
  <c r="F26" i="59"/>
  <c r="X124" i="52"/>
  <c r="X123" i="52" s="1"/>
  <c r="G124" i="52"/>
  <c r="AB48" i="52"/>
  <c r="Z20" i="52"/>
  <c r="Y16" i="52"/>
  <c r="Z16" i="52" s="1"/>
  <c r="C29" i="52"/>
  <c r="AD141" i="52"/>
  <c r="K94" i="52"/>
  <c r="L94" i="52" s="1"/>
  <c r="Y74" i="52"/>
  <c r="D124" i="52"/>
  <c r="E124" i="52" s="1"/>
  <c r="AA55" i="52"/>
  <c r="AB55" i="52" s="1"/>
  <c r="K74" i="52"/>
  <c r="L74" i="52" s="1"/>
  <c r="Y94" i="52"/>
  <c r="Y89" i="52" s="1"/>
  <c r="U6" i="52"/>
  <c r="N141" i="52"/>
  <c r="P141" i="52"/>
  <c r="AA68" i="52"/>
  <c r="AB20" i="52"/>
  <c r="J97" i="52"/>
  <c r="X6" i="52"/>
  <c r="O74" i="52"/>
  <c r="P74" i="52" s="1"/>
  <c r="K68" i="52"/>
  <c r="L68" i="52" s="1"/>
  <c r="AD94" i="52"/>
  <c r="X74" i="52"/>
  <c r="X73" i="52" s="1"/>
  <c r="C110" i="52"/>
  <c r="AC74" i="52"/>
  <c r="AC73" i="52" s="1"/>
  <c r="Y68" i="52"/>
  <c r="Z68" i="52" s="1"/>
  <c r="AB60" i="52"/>
  <c r="Q5" i="52"/>
  <c r="Q154" i="52" s="1"/>
  <c r="C5" i="52"/>
  <c r="AD40" i="52"/>
  <c r="Z90" i="52"/>
  <c r="M74" i="52"/>
  <c r="N74" i="52" s="1"/>
  <c r="K12" i="52"/>
  <c r="L12" i="52" s="1"/>
  <c r="AA74" i="52"/>
  <c r="S6" i="52"/>
  <c r="X12" i="52"/>
  <c r="Y49" i="52"/>
  <c r="Y48" i="52" s="1"/>
  <c r="Z48" i="52" s="1"/>
  <c r="D48" i="52"/>
  <c r="E48" i="52" s="1"/>
  <c r="Y99" i="52"/>
  <c r="Y98" i="52" s="1"/>
  <c r="D98" i="52"/>
  <c r="E98" i="52" s="1"/>
  <c r="AC99" i="52"/>
  <c r="AC98" i="52" s="1"/>
  <c r="O98" i="52"/>
  <c r="P98" i="52" s="1"/>
  <c r="AB40" i="52"/>
  <c r="Y105" i="52"/>
  <c r="Y104" i="52" s="1"/>
  <c r="Z104" i="52" s="1"/>
  <c r="K104" i="52"/>
  <c r="L104" i="52" s="1"/>
  <c r="AC136" i="52"/>
  <c r="AD137" i="52"/>
  <c r="M68" i="52"/>
  <c r="N68" i="52" s="1"/>
  <c r="Y13" i="52"/>
  <c r="Y12" i="52" s="1"/>
  <c r="Z12" i="52" s="1"/>
  <c r="D12" i="52"/>
  <c r="E12" i="52" s="1"/>
  <c r="M94" i="52"/>
  <c r="N94" i="52" s="1"/>
  <c r="AA112" i="52"/>
  <c r="AA111" i="52" s="1"/>
  <c r="F111" i="52"/>
  <c r="G111" i="52" s="1"/>
  <c r="AA119" i="52"/>
  <c r="AA117" i="52" s="1"/>
  <c r="AB117" i="52" s="1"/>
  <c r="F117" i="52"/>
  <c r="G117" i="52" s="1"/>
  <c r="J5" i="52"/>
  <c r="O12" i="52"/>
  <c r="P12" i="52" s="1"/>
  <c r="AC13" i="52"/>
  <c r="AC12" i="52" s="1"/>
  <c r="F12" i="52"/>
  <c r="G12" i="52" s="1"/>
  <c r="AA14" i="52"/>
  <c r="AB141" i="52"/>
  <c r="AA136" i="52"/>
  <c r="D6" i="52"/>
  <c r="E6" i="52" s="1"/>
  <c r="Y7" i="52"/>
  <c r="Y6" i="52" s="1"/>
  <c r="S12" i="52"/>
  <c r="Z137" i="52"/>
  <c r="AA99" i="52"/>
  <c r="F98" i="52"/>
  <c r="G98" i="52" s="1"/>
  <c r="M104" i="52"/>
  <c r="N104" i="52" s="1"/>
  <c r="AA105" i="52"/>
  <c r="AA104" i="52" s="1"/>
  <c r="AB104" i="52" s="1"/>
  <c r="AB68" i="52"/>
  <c r="X89" i="52"/>
  <c r="AC130" i="52"/>
  <c r="AC124" i="52" s="1"/>
  <c r="O124" i="52"/>
  <c r="P124" i="52" s="1"/>
  <c r="AA94" i="52"/>
  <c r="AB94" i="52" s="1"/>
  <c r="X111" i="52"/>
  <c r="X110" i="52" s="1"/>
  <c r="AD20" i="52"/>
  <c r="O6" i="52"/>
  <c r="P6" i="52" s="1"/>
  <c r="AC7" i="52"/>
  <c r="AC6" i="52" s="1"/>
  <c r="Y73" i="52"/>
  <c r="Z74" i="52"/>
  <c r="X136" i="52"/>
  <c r="AB137" i="52"/>
  <c r="AA7" i="52"/>
  <c r="AA6" i="52" s="1"/>
  <c r="F6" i="52"/>
  <c r="G6" i="52" s="1"/>
  <c r="AB90" i="52"/>
  <c r="F55" i="52"/>
  <c r="K6" i="52"/>
  <c r="L6" i="52" s="1"/>
  <c r="Y128" i="52"/>
  <c r="Y124" i="52" s="1"/>
  <c r="K124" i="52"/>
  <c r="L124" i="52" s="1"/>
  <c r="AA15" i="52"/>
  <c r="M12" i="52"/>
  <c r="N12" i="52" s="1"/>
  <c r="AA128" i="52"/>
  <c r="AA124" i="52" s="1"/>
  <c r="M124" i="52"/>
  <c r="N124" i="52" s="1"/>
  <c r="W12" i="52"/>
  <c r="AC89" i="52"/>
  <c r="AC50" i="52"/>
  <c r="AC48" i="52" s="1"/>
  <c r="AD48" i="52" s="1"/>
  <c r="H48" i="52"/>
  <c r="I48" i="52" s="1"/>
  <c r="Y112" i="52"/>
  <c r="Y111" i="52" s="1"/>
  <c r="D111" i="52"/>
  <c r="E111" i="52" s="1"/>
  <c r="Y119" i="52"/>
  <c r="Y117" i="52" s="1"/>
  <c r="Z117" i="52" s="1"/>
  <c r="D117" i="52"/>
  <c r="E117" i="52" s="1"/>
  <c r="Z60" i="52"/>
  <c r="M6" i="52"/>
  <c r="N6" i="52" s="1"/>
  <c r="K141" i="52"/>
  <c r="L141" i="52" s="1"/>
  <c r="Y142" i="52"/>
  <c r="Y141" i="52" s="1"/>
  <c r="Z141" i="52" s="1"/>
  <c r="W54" i="3" l="1"/>
  <c r="C54" i="59"/>
  <c r="I55" i="52"/>
  <c r="C54" i="52"/>
  <c r="M98" i="52"/>
  <c r="N98" i="52" s="1"/>
  <c r="K160" i="3"/>
  <c r="W79" i="3"/>
  <c r="S160" i="3"/>
  <c r="J160" i="3"/>
  <c r="K98" i="52"/>
  <c r="L98" i="52" s="1"/>
  <c r="Y57" i="52"/>
  <c r="Y55" i="52" s="1"/>
  <c r="Z55" i="52" s="1"/>
  <c r="D55" i="52"/>
  <c r="E55" i="52" s="1"/>
  <c r="F95" i="59"/>
  <c r="V103" i="3"/>
  <c r="E160" i="3"/>
  <c r="F79" i="59"/>
  <c r="F116" i="59"/>
  <c r="E54" i="59"/>
  <c r="P160" i="3"/>
  <c r="G55" i="52"/>
  <c r="AA98" i="52"/>
  <c r="AB98" i="52" s="1"/>
  <c r="F80" i="59"/>
  <c r="N160" i="3"/>
  <c r="F142" i="59"/>
  <c r="D54" i="59"/>
  <c r="D160" i="3"/>
  <c r="G160" i="3"/>
  <c r="Q160" i="3"/>
  <c r="I160" i="3"/>
  <c r="U129" i="3"/>
  <c r="L160" i="3"/>
  <c r="D29" i="59"/>
  <c r="F160" i="3"/>
  <c r="V79" i="3"/>
  <c r="W18" i="42"/>
  <c r="W19" i="42" s="1"/>
  <c r="F29" i="59"/>
  <c r="P30" i="52"/>
  <c r="J29" i="52"/>
  <c r="J154" i="52" s="1"/>
  <c r="M160" i="3"/>
  <c r="O160" i="3"/>
  <c r="V54" i="3"/>
  <c r="W13" i="12"/>
  <c r="W14" i="12" s="1"/>
  <c r="V129" i="3"/>
  <c r="W16" i="40"/>
  <c r="W17" i="40" s="1"/>
  <c r="X95" i="3"/>
  <c r="Y34" i="52"/>
  <c r="Y30" i="52" s="1"/>
  <c r="Z30" i="52" s="1"/>
  <c r="K30" i="52"/>
  <c r="L30" i="52" s="1"/>
  <c r="C160" i="59"/>
  <c r="D103" i="59"/>
  <c r="F55" i="59"/>
  <c r="R160" i="3"/>
  <c r="E130" i="59"/>
  <c r="W29" i="3"/>
  <c r="X29" i="3" s="1"/>
  <c r="AA34" i="52"/>
  <c r="AA30" i="52" s="1"/>
  <c r="M30" i="52"/>
  <c r="N30" i="52" s="1"/>
  <c r="T160" i="3"/>
  <c r="F30" i="59"/>
  <c r="X5" i="3"/>
  <c r="F5" i="59"/>
  <c r="F103" i="59"/>
  <c r="AD12" i="52"/>
  <c r="AA54" i="52"/>
  <c r="AD74" i="52"/>
  <c r="Z94" i="52"/>
  <c r="C154" i="52"/>
  <c r="Y29" i="52"/>
  <c r="X5" i="52"/>
  <c r="X154" i="52" s="1"/>
  <c r="Y54" i="52"/>
  <c r="AA89" i="52"/>
  <c r="AB124" i="52"/>
  <c r="AA123" i="52"/>
  <c r="Y123" i="52"/>
  <c r="Z124" i="52"/>
  <c r="AA97" i="52"/>
  <c r="AA12" i="52"/>
  <c r="AB12" i="52" s="1"/>
  <c r="AA73" i="52"/>
  <c r="AB74" i="52"/>
  <c r="Z98" i="52"/>
  <c r="Y97" i="52"/>
  <c r="AB6" i="52"/>
  <c r="AC5" i="52"/>
  <c r="AD6" i="52"/>
  <c r="AC123" i="52"/>
  <c r="AD124" i="52"/>
  <c r="Y5" i="52"/>
  <c r="Z6" i="52"/>
  <c r="AA110" i="52"/>
  <c r="AB111" i="52"/>
  <c r="AC97" i="52"/>
  <c r="AD98" i="52"/>
  <c r="Y110" i="52"/>
  <c r="Z111" i="52"/>
  <c r="Y136" i="52"/>
  <c r="AC29" i="52"/>
  <c r="X103" i="3" l="1"/>
  <c r="X54" i="3"/>
  <c r="V160" i="3"/>
  <c r="W129" i="3"/>
  <c r="X129" i="3" s="1"/>
  <c r="X79" i="3"/>
  <c r="U160" i="3"/>
  <c r="AB30" i="52"/>
  <c r="AA29" i="52"/>
  <c r="D160" i="59"/>
  <c r="F130" i="59"/>
  <c r="E129" i="59"/>
  <c r="F54" i="59"/>
  <c r="AA5" i="52"/>
  <c r="AC154" i="52"/>
  <c r="AD154" i="52" s="1"/>
  <c r="Y154" i="52"/>
  <c r="Z154" i="52" s="1"/>
  <c r="AA154" i="52" l="1"/>
  <c r="AB154" i="52" s="1"/>
  <c r="F129" i="59"/>
  <c r="F160" i="59" s="1"/>
  <c r="W160" i="3"/>
  <c r="X160" i="3" s="1"/>
  <c r="E160" i="59"/>
  <c r="G158" i="59" l="1"/>
  <c r="G154" i="59"/>
  <c r="G150" i="59"/>
  <c r="G146" i="59"/>
  <c r="G138" i="59"/>
  <c r="G134" i="59"/>
  <c r="G130" i="59"/>
  <c r="G126" i="59"/>
  <c r="G122" i="59"/>
  <c r="G118" i="59"/>
  <c r="G114" i="59"/>
  <c r="G110" i="59"/>
  <c r="G106" i="59"/>
  <c r="G102" i="59"/>
  <c r="G98" i="59"/>
  <c r="G94" i="59"/>
  <c r="G90" i="59"/>
  <c r="G86" i="59"/>
  <c r="G82" i="59"/>
  <c r="G78" i="59"/>
  <c r="G74" i="59"/>
  <c r="G70" i="59"/>
  <c r="G66" i="59"/>
  <c r="G62" i="59"/>
  <c r="G58" i="59"/>
  <c r="G54" i="59"/>
  <c r="G50" i="59"/>
  <c r="G46" i="59"/>
  <c r="G42" i="59"/>
  <c r="G38" i="59"/>
  <c r="G34" i="59"/>
  <c r="G30" i="59"/>
  <c r="G26" i="59"/>
  <c r="G22" i="59"/>
  <c r="G18" i="59"/>
  <c r="G14" i="59"/>
  <c r="G10" i="59"/>
  <c r="G6" i="59"/>
  <c r="G148" i="59"/>
  <c r="G144" i="59"/>
  <c r="G140" i="59"/>
  <c r="G136" i="59"/>
  <c r="G132" i="59"/>
  <c r="G120" i="59"/>
  <c r="G108" i="59"/>
  <c r="G96" i="59"/>
  <c r="G80" i="59"/>
  <c r="G64" i="59"/>
  <c r="G48" i="59"/>
  <c r="G32" i="59"/>
  <c r="G20" i="59"/>
  <c r="G8" i="59"/>
  <c r="G157" i="59"/>
  <c r="G149" i="59"/>
  <c r="G145" i="59"/>
  <c r="G141" i="59"/>
  <c r="G137" i="59"/>
  <c r="G133" i="59"/>
  <c r="G129" i="59"/>
  <c r="G125" i="59"/>
  <c r="G121" i="59"/>
  <c r="G117" i="59"/>
  <c r="G113" i="59"/>
  <c r="G109" i="59"/>
  <c r="G105" i="59"/>
  <c r="G101" i="59"/>
  <c r="G97" i="59"/>
  <c r="G93" i="59"/>
  <c r="G89" i="59"/>
  <c r="G85" i="59"/>
  <c r="G81" i="59"/>
  <c r="G77" i="59"/>
  <c r="G73" i="59"/>
  <c r="G69" i="59"/>
  <c r="G65" i="59"/>
  <c r="G61" i="59"/>
  <c r="G57" i="59"/>
  <c r="G53" i="59"/>
  <c r="G49" i="59"/>
  <c r="G45" i="59"/>
  <c r="G41" i="59"/>
  <c r="G37" i="59"/>
  <c r="G33" i="59"/>
  <c r="G29" i="59"/>
  <c r="G25" i="59"/>
  <c r="G21" i="59"/>
  <c r="G17" i="59"/>
  <c r="G13" i="59"/>
  <c r="G9" i="59"/>
  <c r="G124" i="59"/>
  <c r="G112" i="59"/>
  <c r="G104" i="59"/>
  <c r="G92" i="59"/>
  <c r="G84" i="59"/>
  <c r="G72" i="59"/>
  <c r="G60" i="59"/>
  <c r="G52" i="59"/>
  <c r="G40" i="59"/>
  <c r="G28" i="59"/>
  <c r="G159" i="59"/>
  <c r="G155" i="59"/>
  <c r="G151" i="59"/>
  <c r="G147" i="59"/>
  <c r="G143" i="59"/>
  <c r="G139" i="59"/>
  <c r="G135" i="59"/>
  <c r="G131" i="59"/>
  <c r="G127" i="59"/>
  <c r="G123" i="59"/>
  <c r="G119" i="59"/>
  <c r="G115" i="59"/>
  <c r="G111" i="59"/>
  <c r="G107" i="59"/>
  <c r="G103" i="59"/>
  <c r="G99" i="59"/>
  <c r="G95" i="59"/>
  <c r="G91" i="59"/>
  <c r="G87" i="59"/>
  <c r="G83" i="59"/>
  <c r="G79" i="59"/>
  <c r="G75" i="59"/>
  <c r="G71" i="59"/>
  <c r="G67" i="59"/>
  <c r="G63" i="59"/>
  <c r="G59" i="59"/>
  <c r="G55" i="59"/>
  <c r="G51" i="59"/>
  <c r="G47" i="59"/>
  <c r="G43" i="59"/>
  <c r="G39" i="59"/>
  <c r="G35" i="59"/>
  <c r="G31" i="59"/>
  <c r="G27" i="59"/>
  <c r="G23" i="59"/>
  <c r="G19" i="59"/>
  <c r="G15" i="59"/>
  <c r="G11" i="59"/>
  <c r="G7" i="59"/>
  <c r="G156" i="59"/>
  <c r="G128" i="59"/>
  <c r="G116" i="59"/>
  <c r="G100" i="59"/>
  <c r="G88" i="59"/>
  <c r="G76" i="59"/>
  <c r="G68" i="59"/>
  <c r="G56" i="59"/>
  <c r="G44" i="59"/>
  <c r="G36" i="59"/>
  <c r="G24" i="59"/>
  <c r="G16" i="59"/>
  <c r="G153" i="59"/>
  <c r="G152" i="59"/>
  <c r="G12" i="59"/>
  <c r="G5" i="59"/>
  <c r="G142" i="59"/>
  <c r="G160" i="59" l="1"/>
</calcChain>
</file>

<file path=xl/sharedStrings.xml><?xml version="1.0" encoding="utf-8"?>
<sst xmlns="http://schemas.openxmlformats.org/spreadsheetml/2006/main" count="3408" uniqueCount="778">
  <si>
    <t>%</t>
  </si>
  <si>
    <t xml:space="preserve">Tabla. Presupuesto estimado proyecto por actividad (COP del 2019) </t>
  </si>
  <si>
    <t>PROGRAMA 1. Productividad y mercados eficientes</t>
  </si>
  <si>
    <t>1.4 Consolidación de mecanismos y canales de comercialización, a lo largo de la cadena de arroz</t>
  </si>
  <si>
    <t>1.1. Mejora de la productividad del cultivo de arroz</t>
  </si>
  <si>
    <t xml:space="preserve">1.2. Desarrollo de clústeres agroindustriales arroceros </t>
  </si>
  <si>
    <t>1.3. Abastecimiento del consumo de arroz blanco con producción nacional</t>
  </si>
  <si>
    <t>1.5. Fortalecimiento de los instrumentos de mercados, dirigidos al sector arrocero</t>
  </si>
  <si>
    <t>2023 a 2032</t>
  </si>
  <si>
    <t>2033 a 2038</t>
  </si>
  <si>
    <t xml:space="preserve">PROGRAMA 3. Sanidad y semilla </t>
  </si>
  <si>
    <t>2.1. Fortalecimiento de la investigación, desarrollo e innovación (I+D+i), para la cadena de arroz</t>
  </si>
  <si>
    <t>2.2. Consolidación de los modelos de transferencia de tecnologías, de acuerdo con las necesidades regionales</t>
  </si>
  <si>
    <t>2.3. Implementación de una estrategia de buenas prácticas para la cadena de arroz</t>
  </si>
  <si>
    <t>3.3. Fortalecimiento en la gestión de diplomacia sanitaria para el arroz y sus subproductos</t>
  </si>
  <si>
    <t>4.1. Optimización del uso del recurso hídrico en las áreas del cultivo de arroz</t>
  </si>
  <si>
    <t>4.2. Mejoramiento de los distritos de riego que prestan el servicio para el cultivo de arroz</t>
  </si>
  <si>
    <t>PROGRAMA 5. Financiamiento</t>
  </si>
  <si>
    <t>5.1. Mejora del acceso de la cadena arrocera, al financiamiento</t>
  </si>
  <si>
    <t>5.2. Promoción de los instrumentos financieros de mitigación de riesgos, a lo largo de la cadena de arroz</t>
  </si>
  <si>
    <t>PROGRAMA 6. Infraestructura y servicios logísticos para la cadena arrocera</t>
  </si>
  <si>
    <t>6.1. Fortalecimiento de la infraestructura para la conectividad y la cobertura de servicios públicos en las regiones arroceras</t>
  </si>
  <si>
    <t>6.2. Mejora del mercado de servicios logísticos para la cadena arrocera</t>
  </si>
  <si>
    <t xml:space="preserve">PROGRAMA 7. Información y gestión del conocimiento </t>
  </si>
  <si>
    <t>7.1. Mejora de la calidad de la información para la cadena de arroz</t>
  </si>
  <si>
    <t>7.2. Gestión oportuna y eficiente del conocimiento de la cadena de arroz</t>
  </si>
  <si>
    <t xml:space="preserve">PROGRAMA 8. Institucionalidad arrocera </t>
  </si>
  <si>
    <t>8.1. Fortalecimiento de la articulación institucional</t>
  </si>
  <si>
    <t xml:space="preserve">8.2. Fortalecimiento de las relaciones de cooperación y asociatividad estratégica </t>
  </si>
  <si>
    <t>PROGRAMA 9. Socioambiental</t>
  </si>
  <si>
    <t>9.1. Promoción de la inclusión de los pequeños y medianos productores de arroz</t>
  </si>
  <si>
    <t>9.2. Mejora en la calidad de vida de los actores vinculados a la cadena de arroz</t>
  </si>
  <si>
    <t>9.3. Apropiación de la cultura arrocera</t>
  </si>
  <si>
    <t>9.4 Fortalecimiento de la sostenibilidad ambiental de la cadena de arroz</t>
  </si>
  <si>
    <t>Tabla. Presupuesto plan de acción cadena arroz en pesos constantes de 2019 por programa, proyecto y actividad</t>
  </si>
  <si>
    <t>TOTALES</t>
  </si>
  <si>
    <t>PROGRAMA - PROYECTO - ACTIVIDAD/AÑO (2020 a 2038)</t>
  </si>
  <si>
    <t>2020 a 2022</t>
  </si>
  <si>
    <t>Programación</t>
  </si>
  <si>
    <t>Actividades</t>
  </si>
  <si>
    <t>Cantidad</t>
  </si>
  <si>
    <t>Unidad</t>
  </si>
  <si>
    <t>Valor</t>
  </si>
  <si>
    <t>Meses</t>
  </si>
  <si>
    <t>Total año</t>
  </si>
  <si>
    <t>Viáticos</t>
  </si>
  <si>
    <t xml:space="preserve">TOTAL </t>
  </si>
  <si>
    <t xml:space="preserve">* Personal nacional e internacional primer año </t>
  </si>
  <si>
    <t>Total 2019</t>
  </si>
  <si>
    <t>* Actualización con dos personas años restantes</t>
  </si>
  <si>
    <t>Total años restantes</t>
  </si>
  <si>
    <t>Presupuesto COP 2017 Tarea 1</t>
  </si>
  <si>
    <t>Presupuesto COP 2019 Actividad 1</t>
  </si>
  <si>
    <t>*visitas de verificaciòn</t>
  </si>
  <si>
    <t>Presupuesto COP 2019 Actividad 2</t>
  </si>
  <si>
    <t>Descripción</t>
  </si>
  <si>
    <t>Principales parámetros empleados para la estimación presupuestal</t>
  </si>
  <si>
    <t>Honorarios</t>
  </si>
  <si>
    <t>Fuente</t>
  </si>
  <si>
    <t>Consultor Categoría III Nivel 8</t>
  </si>
  <si>
    <t>TP+MA+70-79ME</t>
  </si>
  <si>
    <t>$/mes</t>
  </si>
  <si>
    <t>TP</t>
  </si>
  <si>
    <t>Título Profesional</t>
  </si>
  <si>
    <t>Consultor Categoría III Nivel 5</t>
  </si>
  <si>
    <t>TP+MA+40-49ME</t>
  </si>
  <si>
    <t>MA</t>
  </si>
  <si>
    <t>Título de posgrado en modalidad de maestría</t>
  </si>
  <si>
    <t>Presupuesto COP 2017 Tarea 2</t>
  </si>
  <si>
    <t>Consultor Categoría III Nivel 4</t>
  </si>
  <si>
    <t>TP+E+46-51ME</t>
  </si>
  <si>
    <t>E</t>
  </si>
  <si>
    <t>Título de posgrado en modalidad de especialización</t>
  </si>
  <si>
    <t>Presupuesto COP 2017 Tarea 3</t>
  </si>
  <si>
    <t>Consultor Categoría II Nivel 8</t>
  </si>
  <si>
    <t>TP+E+23-28ME</t>
  </si>
  <si>
    <t>ME</t>
  </si>
  <si>
    <t>Meses de experiencia</t>
  </si>
  <si>
    <t>Presupuesto COP 2017 Tarea 4</t>
  </si>
  <si>
    <t>Consultor Categoría II Nivel 7</t>
  </si>
  <si>
    <t>TP+E+17-22ME</t>
  </si>
  <si>
    <t>Presupuesto COP 2017 Tarea 5</t>
  </si>
  <si>
    <t>Consultor Categoría II Nivel 6</t>
  </si>
  <si>
    <t>TP+E+11-16ME</t>
  </si>
  <si>
    <t>Presupuesto COP 2017 Tarea 6</t>
  </si>
  <si>
    <t>Consultor Categoría II Nivel 5</t>
  </si>
  <si>
    <t>TP+E+5-10ME</t>
  </si>
  <si>
    <t>Presupuesto COP 2017 Tarea 7</t>
  </si>
  <si>
    <t>Presupuesto COP 2017 Tarea 8</t>
  </si>
  <si>
    <t>Semana ($/3,5 días)</t>
  </si>
  <si>
    <t>Presupuesto COP 2017 Tarea 9</t>
  </si>
  <si>
    <t>$/día</t>
  </si>
  <si>
    <t xml:space="preserve">Puesto de trabajo </t>
  </si>
  <si>
    <t>Publicaciones</t>
  </si>
  <si>
    <t>Valores referencia obtenidos de la tabla de honorarios de contratos de prestación de servicios y apoyo a la gestión - DNP 2019</t>
  </si>
  <si>
    <t>Valores referencia obtenidos del Decreto No. 1013 de 2019 "Por el cual se fijan las escalas de viáticos"</t>
  </si>
  <si>
    <t>2021 a 2023 y desde 2028 cada 5 años</t>
  </si>
  <si>
    <t>2021 a 2032</t>
  </si>
  <si>
    <t>Categoría</t>
  </si>
  <si>
    <t>Pesos</t>
  </si>
  <si>
    <t>persona</t>
  </si>
  <si>
    <t>Consultor 1</t>
  </si>
  <si>
    <t>Viáticos 1</t>
  </si>
  <si>
    <t>Viáticos 2</t>
  </si>
  <si>
    <t>Global</t>
  </si>
  <si>
    <t>Talleres regionales</t>
  </si>
  <si>
    <t>Talleres nacionales</t>
  </si>
  <si>
    <t xml:space="preserve">Total </t>
  </si>
  <si>
    <t>Viaje nacional</t>
  </si>
  <si>
    <t>tiquete</t>
  </si>
  <si>
    <t>semanas/ persona</t>
  </si>
  <si>
    <t>semanas/persona</t>
  </si>
  <si>
    <t>tiquete / 2 personas</t>
  </si>
  <si>
    <t>6 regiones, tres primeros años dos regiones por año, contando secano manual</t>
  </si>
  <si>
    <t>Consultor - mecanismos de comunicación</t>
  </si>
  <si>
    <t>días</t>
  </si>
  <si>
    <t>Implementación de la estrategia</t>
  </si>
  <si>
    <t>Por presupuestar: actividades de implementación sujetas a estudios, diseño y otros estudios específicos previos</t>
  </si>
  <si>
    <t>Presupuesto relativo</t>
  </si>
  <si>
    <t>Desde 2021, anual</t>
  </si>
  <si>
    <t>Presupuesto COP 2019 Actividad 3</t>
  </si>
  <si>
    <t>Viáticos 3</t>
  </si>
  <si>
    <t>Consultor 3 (Ded. 35%)</t>
  </si>
  <si>
    <t>Dedicación 20%, 30%, 30%, 10% y 10%.</t>
  </si>
  <si>
    <t>Consultor 1  (Ded.  30%)</t>
  </si>
  <si>
    <t>Dedicación  30%, 30%20%, 10% 10%</t>
  </si>
  <si>
    <t>Dedicación 35%, 35%, 30%</t>
  </si>
  <si>
    <t>Consultor 1  (Ded.  20%)</t>
  </si>
  <si>
    <t>Consultor 2 ( Ded. 30%)</t>
  </si>
  <si>
    <t>4 viajes dos personas</t>
  </si>
  <si>
    <t>Viaje Internacional</t>
  </si>
  <si>
    <t>8 viajes ida y vuelta dos personas</t>
  </si>
  <si>
    <t>Tiquetes nacionales ida y regreso</t>
  </si>
  <si>
    <t xml:space="preserve">Tiquetes internacionales ida y regreso </t>
  </si>
  <si>
    <t>Viáticos internacionales</t>
  </si>
  <si>
    <t>semana</t>
  </si>
  <si>
    <t>Tasa de cambio USD</t>
  </si>
  <si>
    <t>Consultor 2 ( Ded. 20%)</t>
  </si>
  <si>
    <t>Viáticos consultor 2</t>
  </si>
  <si>
    <t>Viáticos consultor 3</t>
  </si>
  <si>
    <t>2023 a 2027</t>
  </si>
  <si>
    <t xml:space="preserve">Desde 2021, anual </t>
  </si>
  <si>
    <t>Desde 2024, anual</t>
  </si>
  <si>
    <t>2021 a 2025, y desde 2028 cada 3 años</t>
  </si>
  <si>
    <t xml:space="preserve">Desde 2020, anual </t>
  </si>
  <si>
    <t>2021, 2022 y desde 2024 cada 2 años</t>
  </si>
  <si>
    <t>2021 a 2025 y desde 2028, cada 3 años</t>
  </si>
  <si>
    <t>2022, 2023 y desde 2027, cada 4 años</t>
  </si>
  <si>
    <t>2028, 2032 a 2038</t>
  </si>
  <si>
    <t>Desde 2025, cada 2 años</t>
  </si>
  <si>
    <t>Desde 2023, anual</t>
  </si>
  <si>
    <t>2022 a 2024</t>
  </si>
  <si>
    <t>2023, 2024 y 2034</t>
  </si>
  <si>
    <t>2023 a 2025 y desde 2028 cada 3 años</t>
  </si>
  <si>
    <t>2023 a 2026</t>
  </si>
  <si>
    <t>Desde 2025, anual</t>
  </si>
  <si>
    <t>2021 a 2025</t>
  </si>
  <si>
    <t>2023, 2024, 2029 y 2034</t>
  </si>
  <si>
    <t>2022 a 2024 y desde 2027 cada 3 años</t>
  </si>
  <si>
    <t>Desde 2022, anual</t>
  </si>
  <si>
    <t>2023 a 2025 y desde 2027 cada 2 años</t>
  </si>
  <si>
    <t>2022 a 2024, 2029 y 2034</t>
  </si>
  <si>
    <t>2023 y 2024 y desde 2027 cada 3 años</t>
  </si>
  <si>
    <t>2034 y 2024 y desde 2027 cada 3 años</t>
  </si>
  <si>
    <t>2022, 2023, y desde 2025 cada 2 años hasta 2029</t>
  </si>
  <si>
    <t>2023, 2024, y desde 2026 cada 2 años hasta 2030</t>
  </si>
  <si>
    <t>2023 a 2026, 2031 y 2036</t>
  </si>
  <si>
    <t>2024 a 2027, 2032 y 2037</t>
  </si>
  <si>
    <t>2025 a 2028, 2033 y 2038</t>
  </si>
  <si>
    <t>2021, 2022 y desde 2026 cada 4 años</t>
  </si>
  <si>
    <t>2022, 2023 y desde 2027 cada 4 años</t>
  </si>
  <si>
    <t>2024 a 2028 y desde 2031 cada 3 años</t>
  </si>
  <si>
    <t>2024 a 2028</t>
  </si>
  <si>
    <t>2024 a 2033</t>
  </si>
  <si>
    <t xml:space="preserve">Desde 2022, anual </t>
  </si>
  <si>
    <t>2023 a 2026 y desde 2030 cada 4 años</t>
  </si>
  <si>
    <t>2023 a 2027, 2032 y 2037</t>
  </si>
  <si>
    <t>2023 a 2025 y 2035</t>
  </si>
  <si>
    <t>2022 a 2026, 2031 y 2036</t>
  </si>
  <si>
    <t>2021 a 2024</t>
  </si>
  <si>
    <t>2025 a 2027, 2030 y 2033</t>
  </si>
  <si>
    <t>Presupuesto COP 2019 Actividad 4</t>
  </si>
  <si>
    <t>Consultor 1  (Ded.  10%)</t>
  </si>
  <si>
    <t>Consultor 2 ( Ded. 10%)</t>
  </si>
  <si>
    <t>Consultor 3 (Ded. 30%)</t>
  </si>
  <si>
    <t>Consultor 3 (Ded. 50%)</t>
  </si>
  <si>
    <t>Presupuesto COP 2019 Actividad 5</t>
  </si>
  <si>
    <t xml:space="preserve">tiquete </t>
  </si>
  <si>
    <t>Implementación de alternativas de reconversión</t>
  </si>
  <si>
    <t>Dedicación  30%, 30%, 20%, 10% 10%</t>
  </si>
  <si>
    <t>2021 a 2025,  y desde 2029 cada 4 años</t>
  </si>
  <si>
    <t>Consultor</t>
  </si>
  <si>
    <t>Actualización</t>
  </si>
  <si>
    <t>Viajes nacionales</t>
  </si>
  <si>
    <t>tiquetes</t>
  </si>
  <si>
    <t>semanas</t>
  </si>
  <si>
    <t>Identificación de las técnicas agrícolas</t>
  </si>
  <si>
    <t xml:space="preserve">Implementación de las técnicas </t>
  </si>
  <si>
    <t>Implementación</t>
  </si>
  <si>
    <t>global</t>
  </si>
  <si>
    <t>Fortalecimiento</t>
  </si>
  <si>
    <t>Eventos, difusión, publicaciones</t>
  </si>
  <si>
    <t>Tiquetes</t>
  </si>
  <si>
    <t>Viaje internacionales</t>
  </si>
  <si>
    <t>Campañas de promoción</t>
  </si>
  <si>
    <t>Capacitaciones</t>
  </si>
  <si>
    <t>Identificación de los procesos</t>
  </si>
  <si>
    <t>Eventos, difusión, divulgación, comunicación, publicaciones, arreglos institucionales para el fomento de procesos enfocados a superar las condiciones de pobreza y seguridad de los actores relacionados con la cadena de arroz</t>
  </si>
  <si>
    <t>Eventos, difusión, divulgación, comunicación, publicaciones, arreglos institucionales para la articulación y fomento de los programas de servicios integrales de atención a las familias arroceras</t>
  </si>
  <si>
    <t>TOTAL</t>
  </si>
  <si>
    <t>*Identificación de mecanismos</t>
  </si>
  <si>
    <t xml:space="preserve">Talleres y capacitaciones </t>
  </si>
  <si>
    <t xml:space="preserve">PROGRAMA 2. Investigación, desarrollo e innovación, y transferencia de tecnologías </t>
  </si>
  <si>
    <t>PROGRAMA 4. Recurso hídrico y sistemas de riego</t>
  </si>
  <si>
    <t>taller</t>
  </si>
  <si>
    <t>Eventos, difusión, divulgación, comunicación, publicaciones, de la información de la cadena de arroz</t>
  </si>
  <si>
    <t>Realización de análisis y estudios especializados</t>
  </si>
  <si>
    <t>Eventos, difusión, divulgación, comunicación, publicaciones, arreglos institucionales para la promoción de acciones encaminadas al uso de herramientas tecnológicas</t>
  </si>
  <si>
    <t>Presupuesto Relativo</t>
  </si>
  <si>
    <t>Presupuesto Actividad 1.1.1</t>
  </si>
  <si>
    <t>Presupuesto Actividad 1.1.2</t>
  </si>
  <si>
    <t>Estrategia Costos</t>
  </si>
  <si>
    <t>Presupuesto Actividad 1.1.3</t>
  </si>
  <si>
    <t>Presupuesto Actividad 1.1.4</t>
  </si>
  <si>
    <t>Presupuesto Actividad 1.1.5</t>
  </si>
  <si>
    <t>Actividad 5. Se presupuesta contratación de personal Identificación e implementación de alternativas de reconversión productiva, según las necesidades de los sistemas productivos del arroz y acorde con las particularidades de cada una de las regiones arroceras</t>
  </si>
  <si>
    <t>2021 a 2035</t>
  </si>
  <si>
    <t>Presupuesto Actividad 1.2.1</t>
  </si>
  <si>
    <t>Zonificación de áreas. Equipo de trabajo</t>
  </si>
  <si>
    <t>Presupuesto Actividad 1.2.2</t>
  </si>
  <si>
    <t>Persona</t>
  </si>
  <si>
    <t>Presupuesto Actividad 1.2.3</t>
  </si>
  <si>
    <t>Talleres Nacionales</t>
  </si>
  <si>
    <t>Talleres Regionales</t>
  </si>
  <si>
    <t>Total</t>
  </si>
  <si>
    <t>Presupuesto Actividad 1.3.1</t>
  </si>
  <si>
    <t>Implementación de estrategia de consumo a nivel nacional</t>
  </si>
  <si>
    <t>Implementación de estrategia de consumo a nivel regional</t>
  </si>
  <si>
    <t>Implementación de estrategia de consumo a nivel local</t>
  </si>
  <si>
    <t>Presupuesto Actividad 1.3.2</t>
  </si>
  <si>
    <t>Presupuesto Actividad 1.3.3</t>
  </si>
  <si>
    <t>Acciones a desarrollar para evitar el contrabando de arroz</t>
  </si>
  <si>
    <t>Presupuesto  Actividad 1.4.1</t>
  </si>
  <si>
    <t>Implementación acciones para  promocionar productos de calidad, inocuos y de valor agregado</t>
  </si>
  <si>
    <t>Presupuesto  Actividad 1.4.2</t>
  </si>
  <si>
    <t>Viáticos Internacionales</t>
  </si>
  <si>
    <t>Implementación  acciones para desarrollar economias de escala</t>
  </si>
  <si>
    <t>Presupuesto  Actividad 1.4.3</t>
  </si>
  <si>
    <t>Viáticos internacional</t>
  </si>
  <si>
    <t>Presupuesto  Actividad 1.4.4</t>
  </si>
  <si>
    <t>Consultor experto</t>
  </si>
  <si>
    <t>personas</t>
  </si>
  <si>
    <t>Viaje internacional</t>
  </si>
  <si>
    <t>Presupuesto  Actividad 1.4.5</t>
  </si>
  <si>
    <t xml:space="preserve">Implementación  acciones para incursionar en mercados  internacionales </t>
  </si>
  <si>
    <t xml:space="preserve">Consultor  </t>
  </si>
  <si>
    <t>Presupuesto Actividad 5.1.1</t>
  </si>
  <si>
    <t xml:space="preserve">Viáticos </t>
  </si>
  <si>
    <t xml:space="preserve">Implementación de la estrategia </t>
  </si>
  <si>
    <t>Presupuesto   Actividad 5.1.2</t>
  </si>
  <si>
    <t>Presupuesto  Actividad 5.2.1</t>
  </si>
  <si>
    <t>2021, 2022</t>
  </si>
  <si>
    <t>Acciones por implementar</t>
  </si>
  <si>
    <t>Presupuesto Actividad 6.1.2</t>
  </si>
  <si>
    <t>Consultor- Diseño de evaluaciones</t>
  </si>
  <si>
    <t>agendas de evaluación</t>
  </si>
  <si>
    <t>Aplicación evaluaciones cualitativas</t>
  </si>
  <si>
    <t>Material de comunicación y promoción</t>
  </si>
  <si>
    <t>Herramienta de atención y relacionamiento implementada</t>
  </si>
  <si>
    <t>Funcionario o contratista  25%</t>
  </si>
  <si>
    <t>Tiquete Nacional</t>
  </si>
  <si>
    <t>ida y vuelta</t>
  </si>
  <si>
    <t>Viaticos</t>
  </si>
  <si>
    <t>Semana</t>
  </si>
  <si>
    <t>Implementación fortalecimiento de capacidades institucionales</t>
  </si>
  <si>
    <t>Implementación articulación de los instrumentos de planificación e implementación de políticas relacionadas con la cadena de arroz a nivel nacional, regional y municipal</t>
  </si>
  <si>
    <t>2022 a 2026</t>
  </si>
  <si>
    <t>Mecanismo de comunicación</t>
  </si>
  <si>
    <t>Implementación y articulación</t>
  </si>
  <si>
    <t>Fortalecimiento y consolidación</t>
  </si>
  <si>
    <t>Eventos, difusión, divulgación, comunicación, publicaciones, arreglos institucionales para la promoción para la formulación y ejecución conjunta entre entidades de ciencia y tecnología de programas y proyectos de I+D+i priorizados para la cadena de arroz, con enfoque diferencial</t>
  </si>
  <si>
    <t>Implementación de estrategias y mecanismos</t>
  </si>
  <si>
    <t>2025 a 2035</t>
  </si>
  <si>
    <t>Puesta en operación</t>
  </si>
  <si>
    <t>2021 a 2023 y desde 2027 cada 4 años</t>
  </si>
  <si>
    <t>2023 a 2025</t>
  </si>
  <si>
    <t>2021 y 2022</t>
  </si>
  <si>
    <t>2021, 2022 y desde 2027 cada 5 años</t>
  </si>
  <si>
    <t>Continuidad</t>
  </si>
  <si>
    <t>2025 a 2027</t>
  </si>
  <si>
    <t>Monitoreo</t>
  </si>
  <si>
    <t>Presupuesto  Actividad 4.2.1</t>
  </si>
  <si>
    <t>Presupuesto  Actividad 4.2.2</t>
  </si>
  <si>
    <t>Presupuesto  Actividad 4.2.3</t>
  </si>
  <si>
    <t>Presupuesto  Actividad 4.2.4</t>
  </si>
  <si>
    <t xml:space="preserve">tiquetes </t>
  </si>
  <si>
    <t>Consultor  Comercialización</t>
  </si>
  <si>
    <t>Campañas</t>
  </si>
  <si>
    <t>Brigadas</t>
  </si>
  <si>
    <t>Consultor de apoyo</t>
  </si>
  <si>
    <t xml:space="preserve"> </t>
  </si>
  <si>
    <t>Consultor 2.   Comercialización 50%</t>
  </si>
  <si>
    <t>Presupuesto  Actividad 1.5.1</t>
  </si>
  <si>
    <t>Presupuesto   Actividad 5.1.3</t>
  </si>
  <si>
    <t>Total años</t>
  </si>
  <si>
    <t xml:space="preserve">Consultor 1 </t>
  </si>
  <si>
    <t>2023 y 2024</t>
  </si>
  <si>
    <t>Consultor desarrollador</t>
  </si>
  <si>
    <t>Eventos, difusión, divulgación, comunicación, publicaciones, arreglos institucionales para el fomento del uso de herramientas tecnológicas que apoyen los procesos de transferencia de tecnologías para la cadena de arroz</t>
  </si>
  <si>
    <t xml:space="preserve">2022 a 2024 </t>
  </si>
  <si>
    <t>Talleres nacionales de articulación</t>
  </si>
  <si>
    <t>Campañas según estrategia de la actividad 2</t>
  </si>
  <si>
    <t>Eventos, difusión, divulgación, comunicación, publicaciones, arreglos institucionales para la promoción de la implementación de las Buenas Prácticas de Manufactura y sistemas integrados de gestión de la calidad en la industria Molinera y su certificación</t>
  </si>
  <si>
    <t>Viajes internacionales</t>
  </si>
  <si>
    <t>Eventos regionales de socialización</t>
  </si>
  <si>
    <t>Eventos nacionales de socialización</t>
  </si>
  <si>
    <t>Estudio de tiempos y movimientos</t>
  </si>
  <si>
    <t>Viáticos consultor 1</t>
  </si>
  <si>
    <t>Consultor Categoría III Nivel 7</t>
  </si>
  <si>
    <t>TP+MA+60-69 ME</t>
  </si>
  <si>
    <t>Otros insumos requeridos</t>
  </si>
  <si>
    <t>Consultor 3</t>
  </si>
  <si>
    <t>Otros insumos para el desarrollo de procesos agroindustriales</t>
  </si>
  <si>
    <t xml:space="preserve">Consultor </t>
  </si>
  <si>
    <t xml:space="preserve"> 1.1.1. Generación de un marco de referencia de una estructura de costos competitiva, de manera articulada, diferenciada por regiones arroceras</t>
  </si>
  <si>
    <t>1.1.2. Planificación de las áreas de siembra de arroz requeridas para garantizar la rentabilidad del sistema productivo (área mínima rentable)</t>
  </si>
  <si>
    <t>1.1.3. Desarrollo de una estrategia que promueva acciones orientadas a la disminución de los costos de producción, priorizando los rubros tierra, insumos (precios y cantidades usadas), agua, entre otros</t>
  </si>
  <si>
    <t>1.1.4. Desarrollo de una estrategia para el aumento de los rendimientos promedios nacionales, diferenciada por regiones y sistemas de producción</t>
  </si>
  <si>
    <t>1.1.5. Identificación e implementación de alternativas de reconversión productiva, según las necesidades de los sistemas productivos del arroz y acorde con las particularidades de cada una de las regiones arroceras</t>
  </si>
  <si>
    <t>2022 a 2035</t>
  </si>
  <si>
    <t>1.2.1. Zonificación de las áreas para el desarrollo de clústeres agroindustriales de arroz</t>
  </si>
  <si>
    <t xml:space="preserve">1.2.3. Implementación de sistemas productivos agropecuarios que complementen la actividad arrocera, promoviendo la rotación del cultivo </t>
  </si>
  <si>
    <t>1.2.2. Implementación de los clústeres, constitución de unidades empresariales y asociaciones, asi como del desarrollo de procesos agroindustriales, que generen productos con mayor valor agregado</t>
  </si>
  <si>
    <t>Actividad 2. Consultor que identifique, determine acciones que promocione, articule  la constitución de unidades empresariales y asociaciones, asi como del desarrollo de procesos Agroindustriales, que generen productos con mayor valor agregado</t>
  </si>
  <si>
    <t xml:space="preserve">Desde 2023, anual </t>
  </si>
  <si>
    <t>1.3.1. Diseño e implementación de estrategias de consumo diferenciadas (arroz, arroz nacional, regional y local, subproductos)</t>
  </si>
  <si>
    <t>1.3.2. Monitoreo de la producción nacional de arroz que garantice el abastecimiento del consumo nacional</t>
  </si>
  <si>
    <t>1.3.3. Fortalecimiento de acciones para evitar el contrabando de arroz</t>
  </si>
  <si>
    <t>2023 a 2025, y desde 2028 cada 3 años</t>
  </si>
  <si>
    <t>1.4.1. Identificación y seguimiento de la oferta de productos de calidad, inocuos y de valor agregado de arroz</t>
  </si>
  <si>
    <t>1.4.2. Desarrollo de economías de escala, a través de modelos asociativos y de cooperación que faciliten la comercialización de insumos, arroz, subproductos y derivados, en mayores cantidades</t>
  </si>
  <si>
    <t>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t>
  </si>
  <si>
    <t xml:space="preserve">1.4.4. Elaboración de estudios de mercado, para identificar nichos, productos y mercados diferenciados (arroces criollos, subproductos y derivados del arroz, otros usos del arroz, marcas regionales) </t>
  </si>
  <si>
    <t>1.4.5. Incursión y posicionamiento de productos y subproductos de arroz en el mercado internacional</t>
  </si>
  <si>
    <t>2024, 2025 y desde 2029, cada 4 años</t>
  </si>
  <si>
    <t>Desde 2026, anual</t>
  </si>
  <si>
    <t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t>
  </si>
  <si>
    <r>
      <t xml:space="preserve">1.5.2. Fortalecimiento, articulación y </t>
    </r>
    <r>
      <rPr>
        <sz val="9"/>
        <color theme="4" tint="-0.499984740745262"/>
        <rFont val="Arial"/>
        <family val="2"/>
      </rPr>
      <t xml:space="preserve">aplicación </t>
    </r>
    <r>
      <rPr>
        <sz val="9"/>
        <rFont val="Arial"/>
        <family val="2"/>
      </rPr>
      <t xml:space="preserve">de mecanismos de defensa comercial, en el marco de los acuerdos comerciales vigentes, ante situaciones que se presenten en mercados internacionales de arroz, que afecten la comercialización de la producción nacional </t>
    </r>
  </si>
  <si>
    <t>Presupuesto Actividad 1.5.2</t>
  </si>
  <si>
    <t>2.1.1. Articulación de las agendas de I+D+i pública y privadas, diferenciadas por regiones, tipo de productor y sistema productivo, en el marco de la actualización del PECTIA de arroz</t>
  </si>
  <si>
    <t>2.1.2. Diseño e implementación de un mecanismo de monitoreo de los proyectos ejecutados y en curso, de los sistemas de información de las entidades que realizan I+D+i para la cadena de arroz</t>
  </si>
  <si>
    <t>2.1.3. Elaboración de un inventario y caracterización de los profesionales con formación en I+D+i, identificando la experiencia específica, parcial, relacionada o de interés, para la cadena de valor del arroz</t>
  </si>
  <si>
    <t xml:space="preserve">2.1.4. Análisis de brechas de formación en I+D+i, según áreas temáticas priorizadas por la cadena de arroz </t>
  </si>
  <si>
    <t>2.1.5. Fortalecimiento de la formación en las áreas básicas del conocimiento y en las áreas temáticas emergentes acordes con las necesidades de I+D+i de la cadena de arroz</t>
  </si>
  <si>
    <t xml:space="preserve">2.1.6. Diseño y puesta en operación de convenios de cooperación científica y técnica público-privados para I+D+i entre los actores de la cadena de arroz, para el financiamiento de la agenda priorizada y articulada </t>
  </si>
  <si>
    <t>2.1.7. Promoción para la formulación y ejecución conjunta entre entidades de ciencia y tecnología de programas y proyectos de I+D+i priorizados para la cadena de arroz, con enfoque diferencial</t>
  </si>
  <si>
    <t>2.1.8. Desarrollo de estrategias y mecanismos que promuevan el trabajo colaborativo para la adquisición, modernización y aprovechamiento eficiente de la infraestructura, equipamientos y recursos, entre otros, para I+D+i, entre las entidades vinculadas a la cadena de arroz</t>
  </si>
  <si>
    <t>2.1.9. Fortalecimiento del desarrollo genético como pilar de I+D+i, de la cadena de arroz</t>
  </si>
  <si>
    <t>Presupuesto COP 2019 Actividad 2.1.1</t>
  </si>
  <si>
    <t>Presupuesto COP 2019 Actividad 2.1.2</t>
  </si>
  <si>
    <t>Presupuesto COP 2019 Actividad 2.1.3</t>
  </si>
  <si>
    <t>Presupuesto COP 2019 Actividad 2.1.4</t>
  </si>
  <si>
    <t>Presupuesto COP 2019 Actividad 2.1.5</t>
  </si>
  <si>
    <t>Presupuesto COP 2019 Actividad 2.1.6</t>
  </si>
  <si>
    <t>Presupuesto COP 2019 Actividad 2.1.7</t>
  </si>
  <si>
    <t>Presupuesto COP 2019 Actividad 2.1.8</t>
  </si>
  <si>
    <t>Presupuesto COP 2019 Actividad 2.1.9</t>
  </si>
  <si>
    <t>2.2.1. Diagnóstico de formación y capacitación de los extensionistas agropecuarios y demás profesionales; así como de los productores, operarios y trabajadores requeridos por la cadena de arroz, diferenciado por regiones y sistemas de producción</t>
  </si>
  <si>
    <t>2.2.2. Diseño e implementación de programas de formación laboral y capacitación por competencias, a transferidores de la cadena de arroz</t>
  </si>
  <si>
    <t>2.2.3. Fortalecimiento de los modelos de asistencia técnica agropecuaria y extensión agropecuaria para mejorar la  transmisión de conocimientos a partir de esquemas innovadores</t>
  </si>
  <si>
    <t>2.2.4. Promoción de la creación y fortalecimiento de entidades para la prestación de servicios especializados de extensión agropecuaria, de acuerdo con las necesidades de la cadena de arroz</t>
  </si>
  <si>
    <t>2.2.5. Mejora de la gestión para la articulación y coordinación de los programas y proyectos de transferencia de tecnologías, capacitación y extensión agropecuaria en los instrumentos de planificación departamental y municipal de las regiones arroceras</t>
  </si>
  <si>
    <t>2.2.6. Diseño e implementación de un mecanismo de monitoreo del nivel de adopción e impacto de las tecnologías disponibles para la cadena de arroz</t>
  </si>
  <si>
    <t>2.2.7. Fomento del uso de herramientas tecnológicas que apoyen los procesos de transferencia de tecnologías para la cadena de arroz</t>
  </si>
  <si>
    <t>2021 y desde 2024 cada 4 años</t>
  </si>
  <si>
    <t>Presupuesto COP 2019 Actividad 2.2.1</t>
  </si>
  <si>
    <t>Presupuesto COP 2019 Actividad 2.2.2</t>
  </si>
  <si>
    <t>Presupuesto COP 2019 Actividad 2.2.3</t>
  </si>
  <si>
    <t>Presupuesto COP 2019 Actividad 2.2.4</t>
  </si>
  <si>
    <t>Presupuesto COP 2019 Actividad 2.2.5</t>
  </si>
  <si>
    <t>Presupuesto COP 2019 Actividad 2.2.6</t>
  </si>
  <si>
    <t>Presupuesto COP 2019 Actividad 2.2.7</t>
  </si>
  <si>
    <t>2.3.1. Identificación de técnicas y métodos de manejo agrícola más apropiadas para las regiones y los sistemas de producción</t>
  </si>
  <si>
    <t>2.3.2. Diseño y articulación de una estrategia que permita la implementación de las buenas prácticas para la cadena de arroz, en el territorio, con enfoque en la agricultura de precisión</t>
  </si>
  <si>
    <t>2.3.3. Revisión y ajuste de las condiciones para la certificación en BPA, acorde con el sistema de producción del arroz, generando un anexo técnico diferencial para el cultivo que considere los modelos de adopción de tecnología, estudios piloto, entre otros</t>
  </si>
  <si>
    <t>2.3.4. Promoción de campañas de concientización que resalten la importancia de la adopción de la Buenas Prácticas Agrícolas - BPA</t>
  </si>
  <si>
    <t>2.3.5. Promoción para la implementación de las Buenas Prácticas de Manufactura y sistemas integrados de gestión de la calidad en la industria Molinera y su certificación</t>
  </si>
  <si>
    <t>Presupuesto COP 2019 Actividad 2.3.1</t>
  </si>
  <si>
    <t>Presupuesto COP 2019 Actividad 2.3.2</t>
  </si>
  <si>
    <t>Presupuesto COP 2019 Actividad 2.3.4</t>
  </si>
  <si>
    <t>Presupuesto COP 2019 Actividad 2.3.5</t>
  </si>
  <si>
    <t>Presupuesto COP 2019 Actividad 2.3.3</t>
  </si>
  <si>
    <t>3.1. Aumento del uso de semilla certificada de arroz</t>
  </si>
  <si>
    <t>3.1.1. Diseño e implementación de campañas articuladas de promoción del uso de semilla certificada, diferenciadas por regiones arroceras</t>
  </si>
  <si>
    <t>3.1.2. Aumento de brigadas para el control en la comercialización y uso de semilla no certificada en épocas de siembra, según el sistema de producción</t>
  </si>
  <si>
    <t>3.1.4. Fomento del uso de semilla certificada a través de los instrumentos de política pública</t>
  </si>
  <si>
    <t>3.1.3. Diseño e implementación de una estrategia que desarrolle mecanismos, para la protección efectiva de los derechos de obtentores (trazabilidad a través del uso de marcadores moleculares), a nivel interinstitucional de toda la cadena de arroz</t>
  </si>
  <si>
    <t>Presupuesto COP 2019 Actividad 3.1.1</t>
  </si>
  <si>
    <t>Presupuesto COP 2019 Actividad 3.1.2</t>
  </si>
  <si>
    <t>Presupuesto COP 2019 Actividad 3.1.3</t>
  </si>
  <si>
    <t>Presupuesto COP 2019 Actividad 3.1.4</t>
  </si>
  <si>
    <t>3.2. Mejoramiento en la gestión de riesgos fitosanitarios y en la inocuidad del arroz</t>
  </si>
  <si>
    <t>3.2.1. Actualización del estatus fitosanitario para el cultivo del arroz</t>
  </si>
  <si>
    <t>3.2.2. Fortalecimiento de la gestión para la atención de episodios inusuales de plagas</t>
  </si>
  <si>
    <t xml:space="preserve">3.2.3. Estandarización y socialización de metodologías de monitoreo para el control de plagas en el cultivo de arroz </t>
  </si>
  <si>
    <t>3.2.4. Fortalecimiento técnico y presupuestal de los planes fitosanitarios (monitoreo de patógenos, diagnósticos, flujo de información con pares internacionales, entre otros)</t>
  </si>
  <si>
    <t>3.2.5. Fortalecimiento técnico y presupuestal de los planes de inocuidad para el seguimiento y control de los contaminantes químicos, metales pesados, residuos agroquímicos y otros (incluye la generación de reportes mapificados de los focos de contaminación identificados)</t>
  </si>
  <si>
    <t>3.2.6. Fortalecimiento de las capacidades institucionales (recursos físicos, humanos, tecnológicos y financieros) y de articulación en materia sanitaria y de inocuidad, en el ámbito central y seccional</t>
  </si>
  <si>
    <t xml:space="preserve">3.2.7. Fortalecimiento del sistema de cuarentena fitosanitaria en puertos, aeropuertos y pasos fronterizos, para la vigilancia y control al ingreso de arroz, subproductos e insumos agrícolas, mejorando la capacidad de atención (pruebas y laboratorios, puntos de atención) </t>
  </si>
  <si>
    <t>3.3.1. Identificación de países potenciales para la importación de semilla y material de propagación, con el fin de realizar las negociaciones y la diplomacia sanitaria</t>
  </si>
  <si>
    <t>3.3.2. Identificación de países potenciales para la exportación de semilla, arroz, subproductos y derivados, con el fin de realizar las negociaciones y la diplomacia sanitaria</t>
  </si>
  <si>
    <t>3.3.3. Armonización de medidas equivalentes bilaterales, en materia de vigilancia epidemiológica, control fitosanitario y de calidad e inocuidad para insumos, productos y subproductos del arroz, con países que se generen intercambios comerciales</t>
  </si>
  <si>
    <t xml:space="preserve">3.3.4. Fortalecimiento de la articulación institucional para garantizar la actualización de la información, que facilite los intercambios comerciales del arroz, subproductos y derivados </t>
  </si>
  <si>
    <t>Presupuesto COP 2019 Actividad 3.3.1</t>
  </si>
  <si>
    <t>Presupuesto COP 2019 Actividad 3.3.2</t>
  </si>
  <si>
    <t>Presupuesto COP 2019 Actividad 3.3.3</t>
  </si>
  <si>
    <t>Presupuesto COP 2019 Actividad 3.3.4</t>
  </si>
  <si>
    <t>4.1.1. Desarrollo de acciones para la articulación de la cadena de arroz con la aplicación de la metodología de análisis multicriterio, definida en el marco de la política nacional de adecuación de tierras</t>
  </si>
  <si>
    <t>4.1.2. Focalización y priorización de áreas actuales y potenciales para el desarrollo de sistemas de riego, con enfoque subregional y acorde con las particularidades de la cadena de arroz</t>
  </si>
  <si>
    <t>4.1.4. Disminución de la incertidumbre en la disponibilidad del recurso hídrico a partir de mejorar la información que permita la planificación oportuna del cultivo de acuerdo con el periodo de siembra</t>
  </si>
  <si>
    <t>4.1.6. Implementación de técnicas y métodos de manejo orientados al uso racional y sostenible del recurso hídrico, en procesos de producción de arroz</t>
  </si>
  <si>
    <t xml:space="preserve">4.1.7. Aumento de la capacidad de almacenamiento del recurso hídrico, al interior del sistema productivo, a través de la implementación de sistemas novedosos y adaptados según las regiones (reservorios, rebombeo y reciclaje), para soluciones individuales o asociadas. </t>
  </si>
  <si>
    <t>4.1.8. Fortalecimiento de las organizaciones con influencia en las regiones arroceras, para la gestión colectiva del agua, promoviendo mecanismos para la resolución de conflictos del agua a nivel local</t>
  </si>
  <si>
    <t>4.1.9. Promoción y articulación de mecanismos tarifarios para incentivar el uso eficiente del agua</t>
  </si>
  <si>
    <t>Presupuesto  Actividad 4.1.1</t>
  </si>
  <si>
    <t>Presupuesto Actividad 4.1.2</t>
  </si>
  <si>
    <t>Presupuesto Actividad 4.1.3.</t>
  </si>
  <si>
    <t>Presupuesto Actividad 4.1.4.</t>
  </si>
  <si>
    <t>Presupuesto Actividad 4.1.5.</t>
  </si>
  <si>
    <t>Presupuesto Actividad 4.1.6.</t>
  </si>
  <si>
    <t>Presupuesto Actividad 4.1.7.</t>
  </si>
  <si>
    <t>Presupuesto Actividad 4.1.8.</t>
  </si>
  <si>
    <t>Presupuesto Actividad 4.1.9.</t>
  </si>
  <si>
    <t>Implementaciòn de acciones</t>
  </si>
  <si>
    <t>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t>
  </si>
  <si>
    <t xml:space="preserve">4.2.1. Desarrollo de una estrategia de participación de la cadena de arroz en el proceso de evaluación integral de los distritos de adecuación de tierras, que prestan servicio para el cultivo de arroz </t>
  </si>
  <si>
    <t>4.2.3. Desarrollo de un trabajo conjunto de la cadena de arroz, que promueva el fortalecimiento de la administración, operación y conservación de los distritos, que prestan servicio para el cultivo</t>
  </si>
  <si>
    <t>2024 a 2027 y 2037</t>
  </si>
  <si>
    <t>Implementación estrategia</t>
  </si>
  <si>
    <t>5.1.1. Fortalecimiento de una estrategia para mejorar el acceso al financiamiento bancario y otras fuentes de financiamiento para el sector arrocero</t>
  </si>
  <si>
    <t xml:space="preserve">5.1.2. Ampliación de la oferta de productos y servicios financieros especializados y enfocados a la cadena de arroz </t>
  </si>
  <si>
    <t xml:space="preserve">5.1.3. Desarrollo de alternativas y mecanismos que se enfoquen en las  necesidades específicas de la cadena de arroz, tales como fortalecimiento de las garantías y manejo de la siniestralidad. </t>
  </si>
  <si>
    <t>2022 a 2033</t>
  </si>
  <si>
    <t>Servicios financieros</t>
  </si>
  <si>
    <t>Desarrollo de alternativas</t>
  </si>
  <si>
    <t>5.2.1. Manejo de los riesgos con enfoque integral (mecanismos de transferencia de riesgos)</t>
  </si>
  <si>
    <t xml:space="preserve">5.2.2. Promoción de la educación financiera para la toma de decisiones  </t>
  </si>
  <si>
    <t xml:space="preserve">Otras estrategias de promoción </t>
  </si>
  <si>
    <t>6.1.2. Priorización de zonas estratégicas de intervención, para el mejoramiento de la infraestructura de conectividad y cobertura de servicios públicos en las regiones arroceras</t>
  </si>
  <si>
    <t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t>
  </si>
  <si>
    <t>6.1.4. Inclusión de los necesidades agrologísticas de la cadena arrocera en el proceso de formulación de acciones del plan nacional de agrologística (Articulación con el Plan Nacional de Agrologística (en formulación))</t>
  </si>
  <si>
    <t>6.1.5. Articulación y gestión de fuentes de inversión y financiación para el desarrollo de la infraestructura y de los servicios logísticos (Articulación con el Plan Nacional de Agrologística (en formulación))</t>
  </si>
  <si>
    <t>2021, 2022, 2030 y 2031</t>
  </si>
  <si>
    <t>2023, 2024, 2032 y 2033</t>
  </si>
  <si>
    <t>2025, 2026, 2034 y 2035</t>
  </si>
  <si>
    <t>Presupuesto Actividad 6.1.1</t>
  </si>
  <si>
    <t>Presupuesto  Actividad 6.1.3</t>
  </si>
  <si>
    <t>Presupuesto  Actividad 6.1.4</t>
  </si>
  <si>
    <t>Presupuesto  Actividad 6.1.5</t>
  </si>
  <si>
    <t xml:space="preserve">6.2.1. Identificación de las necesidades de servicios logísticos requeridos por la cadena arrocera </t>
  </si>
  <si>
    <t>6.2.2. Promoción de acciones que conlleven a la optimización de la logística de transporte de las zonas productoras a los molinos</t>
  </si>
  <si>
    <t>6.2.3. Articulación de mecanismos actuales y futuros, que permitan desarrollar el mercado de maquinaria y equipos para los diferentes eslabones de la cadena arrocera</t>
  </si>
  <si>
    <t xml:space="preserve">6.2.4. Mejora de la infraestructura física de almacenamiento y secamiento de acuerdo con las necesidades de las regiones arroceras, para soluciones individuales o asociadas. </t>
  </si>
  <si>
    <t>6.2.5. Fomento de la creación y consolidación de empresas prestadoras de servicios logísticos (incluye servicios de secamiento y almacenamiento)</t>
  </si>
  <si>
    <t>2024 a 2034</t>
  </si>
  <si>
    <t>7.1.1. Identificación de las necesidades de información de la cadena de arroz, determinando las fuentes y variables, periodicidad de recolección, periodos disponibles, nivel de desagregación geográfica, validaciones aplicadas, periodicidad de publicación, enlace de difusión, entre otros criterios</t>
  </si>
  <si>
    <t>7.1.2. Identificación e implementación de prácticas y criterios para asegurar la calidad de la información, definiendo la participación y los roles de cada uno de los actores generadores de información de la cadena de arroz</t>
  </si>
  <si>
    <t>7.1.3. Fortalecimiento de la capacidad técnica y la infraestructura tecnológica de los actores generadores de la información de la cadena de arroz</t>
  </si>
  <si>
    <t xml:space="preserve">7.1.4. Articulación e interoperabilidad de las fuentes de datos de la cadena de arroz, con el Sistema de información del sector agropecuario </t>
  </si>
  <si>
    <t xml:space="preserve">7.1.5. Levantamiento, actualización y publicación de información estadística y geográfica acorde con las necesidades identificadas para la cadena de arroz </t>
  </si>
  <si>
    <t>Presupuesto COP 2019 Actividad 7.1.1</t>
  </si>
  <si>
    <t>Presupuesto COP 2019 Actividad 7.1.2</t>
  </si>
  <si>
    <t>Presupuesto COP 2019 Actividad 7.1.3</t>
  </si>
  <si>
    <t>Presupuesto COP 2019 Actividad 7.1.4</t>
  </si>
  <si>
    <t>Presupuesto COP 2019 Actividad 7.1.5</t>
  </si>
  <si>
    <t>7.2.1. Desarrollo de estrategias comunicativas y de capacitación en gestión de información estratégica y operativa, para los actores generadores de información de la cadena de arroz</t>
  </si>
  <si>
    <t>7.2.2. Promoción y divulgación de la información, para la toma de decisiones por parte de los actores de la cadena de arroz</t>
  </si>
  <si>
    <t>7.2.3. Promoción de acciones encaminadas al uso de herramientas tecnológicas de la información para la cadena de arroz</t>
  </si>
  <si>
    <t>7.2.4. Identificación, generación, difusión e intercambio de conocimientos (saberes y prácticas) y tecnologías de la cadena de arroz</t>
  </si>
  <si>
    <t>7.2.5. Generación de análisis y estudios especializados para la cadena de arroz (estudios de sostenibilidad ambiental, social, organizativa, económica y financiera, precios de la tierra rural, costos de arrendamiento, distribución de la tenencia de la tierra, regularización de la propiedad rural)</t>
  </si>
  <si>
    <t>2023 a 2033</t>
  </si>
  <si>
    <t>Primer año diseño y dos años siguientes socialización</t>
  </si>
  <si>
    <t>Presupuesto COP 2019 Actividad 7.2.1</t>
  </si>
  <si>
    <t>Presupuesto COP 2019 Actividad 7.2.2</t>
  </si>
  <si>
    <t>Presupuesto COP 2019 Actividad 7.2.3</t>
  </si>
  <si>
    <t>Presupuesto COP 2019 Actividad 7.2.4</t>
  </si>
  <si>
    <t>Presupuesto COP 2019 Actividad 7.2.5</t>
  </si>
  <si>
    <t>8.1.1. Declaración, adopción y promoción, del Plan de ordenamiento productivo de la cadena de arroz, como política pública</t>
  </si>
  <si>
    <t>8.1.2. Diseño e implementación del sistema de seguimiento y evaluación del Plan de ordenamiento productivo de la cadena de arroz</t>
  </si>
  <si>
    <t>8.1.3. Mejora en el relacionamiento de los actores público - privados que permitan la articulación de agendas de trabajo para la implementación del Plan de Ordenamiento Productivo de la cadena de arroz</t>
  </si>
  <si>
    <t>8.1.4. Fortalecimiento de las capacidades institucionales públicas y privadas en los diferentes ámbitos del territorio</t>
  </si>
  <si>
    <t>8.1.5. Articulación de los instrumentos de planificación e implementación de políticas relacionadas con la cadena de arroz a nivel nacional, regional y municipal</t>
  </si>
  <si>
    <t>8.1.6. Revisión y actualización del marco legal y normativo vigente acorde con lo establecido en el Plan de Ordenamiento Productivo para la cadena de arroz.</t>
  </si>
  <si>
    <t>8.1.7. Promoción de acciones que propendan por la seguridad jurídica de la tenencia de la tierra en las regiones arroceras</t>
  </si>
  <si>
    <t>2020 a 2024</t>
  </si>
  <si>
    <t>Eventos, difusión, divulgación, comunicación, publicaciones, arreglos institucionales para la promoción del Plan</t>
  </si>
  <si>
    <t>2024 a 2032</t>
  </si>
  <si>
    <t xml:space="preserve">Desde 2024, anual </t>
  </si>
  <si>
    <t xml:space="preserve">8.2.1. Socialización y replica de los modelos asociativos y experiencias exitosas en el país de manera diferenciada para las regiones arroceras </t>
  </si>
  <si>
    <t>8.2.2. Fortalecimiento de los diferentes esquemas de asociación y promoción del cooperativismo  para generar economías de escala y desarrollo conjunto de negocios en la cadena de arroz</t>
  </si>
  <si>
    <t>8.2.3. Consolidación del Consejo Nacional del Arroz como órgano consultivo asesor</t>
  </si>
  <si>
    <t>Presupuesto  Actividad 8.1.1</t>
  </si>
  <si>
    <t>Presupuesto  Actividad 8.1.2</t>
  </si>
  <si>
    <t>Presupuesto  Actividad 8.1.3</t>
  </si>
  <si>
    <t>Presupuesto  Actividad 8.1.4</t>
  </si>
  <si>
    <t>Presupuesto  Actividad 8.1.5</t>
  </si>
  <si>
    <t>Presupuesto  Actividad 8.1.6</t>
  </si>
  <si>
    <t>Presupuesto  Actividad 8.1.7</t>
  </si>
  <si>
    <t>Presupuesto  Actividad 8.2.1</t>
  </si>
  <si>
    <t>Presupuesto Actividad 8.2.2</t>
  </si>
  <si>
    <t>Presupuesto Actividad 8.2.3</t>
  </si>
  <si>
    <t>9.1.1. Fortalecimiento de las capacidades para la participación de las familias, organizaciones y comunidades de la Agricultura Campesina, Familiar y Comunitaria (ACFC), vinculadas a la cadena de arroz</t>
  </si>
  <si>
    <t>9.1.2. Creación de mecanismos de protección para la inclusión de productores de secano manual, que contribuyen a la seguridad alimentaria en el territorio</t>
  </si>
  <si>
    <t>9.1.3. Realización de campañas de sensibilización para la inclusión social, dirigidas a proveedores, productores, transformadores y comercializadores para aumentar la cobertura de la protección social de los pequeños y medianos productores, los trabajadores y sus familias</t>
  </si>
  <si>
    <t>9.2.2. Promoción de modelos de gestión de recursos humanos orientados a garantizar el relevo generacional en la cadena de arroz</t>
  </si>
  <si>
    <t>9.2.3. Fomento de procesos enfocados a superar las condiciones de pobreza y seguridad de los actores relacionados con la cadena de arroz</t>
  </si>
  <si>
    <t>Presupuesto COP 2019 Actividad 9.1.1</t>
  </si>
  <si>
    <t>Presupuesto COP 2019 Actividad 9.1.2</t>
  </si>
  <si>
    <t>Presupuesto COP 2019 Actividad 9.1.3</t>
  </si>
  <si>
    <t>Campañas de sensibilización 2025 y 2026</t>
  </si>
  <si>
    <t>Otros mecanismo de promoción</t>
  </si>
  <si>
    <t>Presupuesto COP 2019 Actividad 9.2.1</t>
  </si>
  <si>
    <t>Presupuesto COP 2019 Actividad 9.2.2</t>
  </si>
  <si>
    <t>Presupuesto COP 2019 Actividad 9.2.3</t>
  </si>
  <si>
    <t>Instrumentos de fomento</t>
  </si>
  <si>
    <t xml:space="preserve">9.3.1. Diseño e implementación de una estrategia para el desarrollo de mecanismos que promuevan el empoderamiento de la cultura arrocera colombiana </t>
  </si>
  <si>
    <t>9.3.2. Gestión de la declaración de las regiones arroceras como parte de los paisajes agropecuarios</t>
  </si>
  <si>
    <t>9.4.1. Incorporación de los escenarios de variabilidad climática y cambio climático para el desarrollo de los clústeres agroindustriales de arroz</t>
  </si>
  <si>
    <t>9.4.2. Mejora de la gestión institucional para adaptar y mitigar los riesgos derivados de la variabilidad climática y el cambio climático en los sistemas de producción de la cadena de arroz</t>
  </si>
  <si>
    <t>9.4.3. Manejo de técnicas agrícolas que eviten, controlen o reduzcan la emisión de Gases de Efecto Invernadero de la cadena de arroz</t>
  </si>
  <si>
    <t>9.4.4.. Fortalecimiento de la participación de las autoridades ambientales, en el desarrollo sostenible de la cadena arrocera</t>
  </si>
  <si>
    <t>Implementación de mecanismos</t>
  </si>
  <si>
    <t>Presupuesto COP 2019 Actividad 9.3.1</t>
  </si>
  <si>
    <t>Presupuesto COP 2019 Actividad 9.3.2</t>
  </si>
  <si>
    <t>Presupuesto COP 2019 Actividad 9.4.1</t>
  </si>
  <si>
    <t>Presupuesto COP 2019 Actividad 9.4.2</t>
  </si>
  <si>
    <t>Presupuesto COP 2019 Actividad 9.4.3</t>
  </si>
  <si>
    <t>Presupuesto COP 2019 Actividad 9.4.4</t>
  </si>
  <si>
    <t xml:space="preserve">4.1.3. Promoción de sistemas de monitoreo de calidad y cantidad de agua utilizada, en tiempo real, que permita realizar predicciones oportunas y de acuerdo con las características regionales </t>
  </si>
  <si>
    <t>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t>
  </si>
  <si>
    <t>4.2.2. Articulación, socialización y actualización de los mecanismos de evaluación de viabilidad de proyectos relacionados con la implementación de sistemas de riego, en regiones de producción de arroz</t>
  </si>
  <si>
    <t>6.1.1. Identificación y actualización de necesidades de infraestructura para la conectividad y de servicios públicos en las regiones arroceras</t>
  </si>
  <si>
    <t>9.2.1. Generación de espacios de articulación para la revisión y ajuste de las condiciones laborales aplicadas en la actividad arrocera</t>
  </si>
  <si>
    <t>9.2.4. Articulación y fomento de los programas de servicios integrales de atención a las familias arroceras (educación, vivienda, salud, bancarización y ahorro, nutrición, entre otros)</t>
  </si>
  <si>
    <t>Recursos Públicos</t>
  </si>
  <si>
    <t>Recursos privados</t>
  </si>
  <si>
    <t>Recursos de CI no reembolsable</t>
  </si>
  <si>
    <t>2020 a 2038</t>
  </si>
  <si>
    <t>Anexo 4. Fuentes de financiación del plan de acción para la cadena de arroz</t>
  </si>
  <si>
    <t xml:space="preserve">Recursos CI </t>
  </si>
  <si>
    <t>brigadas/año</t>
  </si>
  <si>
    <t>Coordinador</t>
  </si>
  <si>
    <t>reservorios</t>
  </si>
  <si>
    <t>3 días/viaje</t>
  </si>
  <si>
    <t>Dedicación</t>
  </si>
  <si>
    <t>Seguimiento</t>
  </si>
  <si>
    <t>Viáticos nacionales</t>
  </si>
  <si>
    <t xml:space="preserve">Consultor 2 </t>
  </si>
  <si>
    <t>Consultor 2</t>
  </si>
  <si>
    <t>Reservorios (10 reservorios de 20 Ha - año 1)</t>
  </si>
  <si>
    <t>Reservorios (10 reservorios de 20 Ha - año 2)</t>
  </si>
  <si>
    <t>Reservorios (10 reservorios de 20 Ha - año 3)</t>
  </si>
  <si>
    <t>Reservorios (10 reservorios de 20 Ha - año 4)</t>
  </si>
  <si>
    <t>Reservorios (10 reservorios de 20 Ha - año 5)</t>
  </si>
  <si>
    <t>Subtotal</t>
  </si>
  <si>
    <t>Consultor 4</t>
  </si>
  <si>
    <t>Consultor 5</t>
  </si>
  <si>
    <t>Consultor 6</t>
  </si>
  <si>
    <t>Otros tipos de almacenamiento y manejo de agua</t>
  </si>
  <si>
    <t>semana/4personas</t>
  </si>
  <si>
    <t xml:space="preserve">Consultor 3 </t>
  </si>
  <si>
    <t>Actividad 1: Costeo personal que lidere el marco de referencia de costos, levantamiento, socialización a nivel regional y nacional.  Se contrata a un profesional para generar mecanismos de comunicación y socialización de costos - 4 regiones</t>
  </si>
  <si>
    <t xml:space="preserve">Censo </t>
  </si>
  <si>
    <t xml:space="preserve">Consultor 1  </t>
  </si>
  <si>
    <t>Actividad 1.1.2. Se presupuesta contratación de personal que  lidere la planificación de las áreas de siembra de arroz requeridas para garantizar la rentabilidad del sistema productivo (área mínima rentable) 
Censo nacional 50 personas por 4 meses/semestre, incluyendo vehículo, salario incluye rodamiento vehiculo</t>
  </si>
  <si>
    <t>Actividad 2. Se presupuesta contratación de personal que  lidere el desarrollo de la estrategia de costos, revise experiencias internacionales y nacionales y determine las actividades para desarrollar, conjuntamente con la actividad 1.1.1 y 1.1.2</t>
  </si>
  <si>
    <t>Viaje nacional consultor 3</t>
  </si>
  <si>
    <t>Actividad 4. Se presupuesta contratación de personal que  lidere el desarrollo de la estrategia de rendimientos, revise experiencias internacionales y nacionales y determine las actividades para desarrollar.</t>
  </si>
  <si>
    <t>Actividad 3. Identificación de sistemas productivos alternativos que complementen la actividad arrocera, promoviendo la rotación del cultivo, por zonas arroceras( 5 fases: Cultivo, manejo poscosecha, logistica y distribucion).Trabaja conjuntamente con la actividad 1.1.5</t>
  </si>
  <si>
    <t xml:space="preserve">PROGRAMA 3. Semilla, sanidad e inocuidad </t>
  </si>
  <si>
    <t>3.2.5. Fortalecimiento de las capacidades institucionales (recursos físicos, humanos, tecnológicos y financieros) y de articulación en materia sanitaria, en el ámbito central y seccional</t>
  </si>
  <si>
    <t xml:space="preserve">3.2.6. Fortalecimiento del sistema de cuarentena fitosanitaria en puertos, aeropuertos y pasos fronterizos, para la vigilancia y control al ingreso de arroz, subproductos e insumos agrícolas, mejorando la capacidad de atención (pruebas y laboratorios, puntos de atención) </t>
  </si>
  <si>
    <t>3.2. Mejora en la gestión de riesgos fitosanitarios del arroz</t>
  </si>
  <si>
    <t>3.3. Mejora en la gestión para la inocuidad del arroz</t>
  </si>
  <si>
    <t>3.3.1. Actualización y adopción de los criterios de inocuidad y calidad del arroz para el consumo humano, de acuerdo con las normas del Codex Alimentarius.</t>
  </si>
  <si>
    <t>3.3.2. Fortalecimiento de la gestión para la atención de episodios inusuales relacionados con la inocuidad en la cadena del arroz</t>
  </si>
  <si>
    <t>3.3.3. Estandarización y socialización de metodologías para el monitoreo de la inocuidad en la cadena del arroz.</t>
  </si>
  <si>
    <t>3.3.4. Fortalecimiento técnico y presupuestal de los planes de inocuidad para el seguimiento y control de contaminantes químicos, metales pesados, y residuos agroquímicos, entre otros.</t>
  </si>
  <si>
    <t>3.3.5. Fortalecimiento de las capacidades institucionales (recursos físicos, humanos, tecnológicos y financieros) y de articulación en materia de inocuidad, en el ámbito central y seccional</t>
  </si>
  <si>
    <t>3.3.6. Fortalecimiento de la gestión para la  inocuidad en puertos, aeropuertos y pasos fronterizos</t>
  </si>
  <si>
    <t>3.4. Fortalecimiento en la gestión de diplomacia sanitaria para el arroz y sus subproductos</t>
  </si>
  <si>
    <t>3.4.1. Identificación de países potenciales para la importación de semilla, con el fin de realizar las negociaciones y la diplomacia sanitaria</t>
  </si>
  <si>
    <t>3.4.2. Identificación de países potenciales para la exportación de semilla, arroz, subproductos y derivados, con el fin de realizar las negociaciones y la diplomacia sanitaria</t>
  </si>
  <si>
    <t>3.4.3. Armonización de medidas equivalentes bilaterales, en materia de vigilancia epidemiológica, control fitosanitario y de calidad e inocuidad para insumos, productos y subproductos del arroz, con países que se generen intercambios comerciales</t>
  </si>
  <si>
    <t xml:space="preserve">3.4.4. Fortalecimiento de la articulación institucional para garantizar la actualización de la información, que facilite los intercambios comerciales del arroz, subproductos y derivados </t>
  </si>
  <si>
    <t>2023 a 2035</t>
  </si>
  <si>
    <t>2021 a 2033</t>
  </si>
  <si>
    <t>3.1.4. Fomento del uso de semilla certificada, incluida la promoción a través de los instrumentos de política pública</t>
  </si>
  <si>
    <t>1.5.2. Monitoreo y evaluación del comportamiento del mercado internacional así como de las importaciones de arroz, para que en el marco de las condiciones establecidas en los acuerdos comerciales vigentes, se puedan identificar las medidas que garanticen la competitividad</t>
  </si>
  <si>
    <t>Consultor 1 - Coordinador</t>
  </si>
  <si>
    <t xml:space="preserve">Consultor Comercialización  2. </t>
  </si>
  <si>
    <t>Consultor Comercialización 1</t>
  </si>
  <si>
    <t>20 eventos para capacitación de 10.000 productores</t>
  </si>
  <si>
    <t>Refrigerios</t>
  </si>
  <si>
    <t>Alquiler salón</t>
  </si>
  <si>
    <t>Consultor revisión de la efectividad de los instrumentos</t>
  </si>
  <si>
    <t>Implementación de instrumentos de mercados mejorados</t>
  </si>
  <si>
    <t>Viáticos EUA</t>
  </si>
  <si>
    <t>Viáticos Comunidad Andina</t>
  </si>
  <si>
    <t>Viáticos Cono sur</t>
  </si>
  <si>
    <t>Viáticos Asia</t>
  </si>
  <si>
    <t xml:space="preserve">Nota: 4 misiones internacionales </t>
  </si>
  <si>
    <t>Consultor Monitoreo y evaluación</t>
  </si>
  <si>
    <t xml:space="preserve">Consultor 1   Financiamiento </t>
  </si>
  <si>
    <t>Consultor 1   Financiamiento</t>
  </si>
  <si>
    <t>Difusión, divulgación, comunicación, publicaciones, arreglos institucionales para la promoción de la educación financiera</t>
  </si>
  <si>
    <t>Viajes nacionales talleres regionales</t>
  </si>
  <si>
    <t>Viajes nacionales capacitaciones</t>
  </si>
  <si>
    <t>Viáticos capacitaciones</t>
  </si>
  <si>
    <t>Viáticos talleres regionales</t>
  </si>
  <si>
    <t>Consultor 1. Experto en educación financiera</t>
  </si>
  <si>
    <t>Consultor 1 - coordinador</t>
  </si>
  <si>
    <t>Consultor 2 (1 infraestructura y 1 servicios públicos)</t>
  </si>
  <si>
    <t>3 sem/2persona</t>
  </si>
  <si>
    <t>6 Tiquetes/3per</t>
  </si>
  <si>
    <t>Consultor 2 - (1 infraestructura y 1 servicios públicos)</t>
  </si>
  <si>
    <t>Viáticos  Consultor 3</t>
  </si>
  <si>
    <t>Nota: Actividad 6.1.1, 6.1.2, y 6.1.3 comparte espacios de talleres nacionales y regionales para el desarrollo de su actividad</t>
  </si>
  <si>
    <t>Nota: Actividad 6.1.4 y 6.1.5 comparte espacios de talleres nacionales y regionales para el desarrollo de su actividad</t>
  </si>
  <si>
    <t xml:space="preserve">Talleres regionales </t>
  </si>
  <si>
    <t>5 + 1 opcional adicional</t>
  </si>
  <si>
    <t>Base regiones arroceras para talleres, viajes nacionales, etc</t>
  </si>
  <si>
    <t xml:space="preserve">Actividad 1. Equipo de trabajo requerido para la zonificación de áreas para el desarrollo de clústeres. </t>
  </si>
  <si>
    <t>Presupuesto  Actividad 6.2.1</t>
  </si>
  <si>
    <t>Presupuesto Actividad 6.2.2</t>
  </si>
  <si>
    <t>Presupuesto Actividad 6.2.3</t>
  </si>
  <si>
    <t>Presupuesto Actividad 6.2.4</t>
  </si>
  <si>
    <t>Consultores de apoyo</t>
  </si>
  <si>
    <t>Consultor - coordinador</t>
  </si>
  <si>
    <t>Consultor - coordinador - Identificar acciones</t>
  </si>
  <si>
    <t>3sem/viaje</t>
  </si>
  <si>
    <t>Funcionario o contratista</t>
  </si>
  <si>
    <t xml:space="preserve">Promoción de instrumentos </t>
  </si>
  <si>
    <t xml:space="preserve">Consultor identifique ajustes de instrumentos públicos </t>
  </si>
  <si>
    <t>Nota: Funcionario o contratista desarrollo de actividades conjuntas 2.1.1, 2.1.2, 2.1.6 y 2.1.8</t>
  </si>
  <si>
    <t>Nota: Consultores desarrollo de actividades conjuntas 2.1.3, y 2.1.4</t>
  </si>
  <si>
    <t>Personas</t>
  </si>
  <si>
    <t>Maestría</t>
  </si>
  <si>
    <t>Doctorado</t>
  </si>
  <si>
    <t>Diplomado</t>
  </si>
  <si>
    <t xml:space="preserve">Nota: Supuesto fortalecimiento formación 90 personas/año </t>
  </si>
  <si>
    <t>Variedad 6.000 líneas</t>
  </si>
  <si>
    <t>Variedad</t>
  </si>
  <si>
    <t>Nota: Liberar tres variedades cada tres años (Incluye costo de 4 genetistas 10 años)</t>
  </si>
  <si>
    <t>Otros mecanismos de fortalecimiento de la formación en las áreas básicas del conocimiento y en las áreas temáticas emergentes acordes con las necesidades de I+D+i de la cadena de arroz</t>
  </si>
  <si>
    <t>Otros mecanismos de fortalecimiento del desarrollo genético como pilar de I+D+i, de la cadena de arroz</t>
  </si>
  <si>
    <t>Consultor 1 - Coordinador experto en estadística</t>
  </si>
  <si>
    <t>Consultores apoyo</t>
  </si>
  <si>
    <t>8sem/10 per</t>
  </si>
  <si>
    <t>Nota: Consultores desarrollan actividad conjunta 2.2.1 y 2.2.2</t>
  </si>
  <si>
    <t xml:space="preserve">Nota: Consultores desarrollan actividad conjunta 2.2.1 y 2.2.2. </t>
  </si>
  <si>
    <t>Fortalecimiento presupuestal extensión agropecuaria</t>
  </si>
  <si>
    <t>Otros mecanismos de fortalecimiento de los modelos de extensión agropecuaria para mejorar la  transmisión de conocimientos a partir de esquemas innovadores</t>
  </si>
  <si>
    <t>Nota: Un extensionista agropecuario 400 Ha/semestre, cubrir el 43% que no cuenta con asistencia técnica, corresponde a 663 extensionistas. El valor por extensionista incluye alquiler carro</t>
  </si>
  <si>
    <t xml:space="preserve">Nota: 5 reuniones anuales de 3 días, capacitación de 60 personas  </t>
  </si>
  <si>
    <t>2 días/viaje</t>
  </si>
  <si>
    <t xml:space="preserve">Funcionario o contratista </t>
  </si>
  <si>
    <t>Capacitaciones - Talleres</t>
  </si>
  <si>
    <t xml:space="preserve">Nota: Capacitaciones 3.400 productores por año, distribuidos en 25 talleres, contratación de un experto, alquiler de salones y refrigerios  </t>
  </si>
  <si>
    <t>2022 y 2023 y desde 2025 cada 2 años hasta 2031</t>
  </si>
  <si>
    <t>2días/25 viajes</t>
  </si>
  <si>
    <t>Capacitaciones se desarrollan conjuntamente con la actividad 2.3.4</t>
  </si>
  <si>
    <t>Funcionario o contratista (Coordinador)</t>
  </si>
  <si>
    <t>Nota: Brigadas 4 por semestres, cada una de seis días, equipo (1 coordinador, 2 personas ICA, 4 policías), 3 vehículos</t>
  </si>
  <si>
    <t>Desarrollo de mecanismos para los materiales existentes</t>
  </si>
  <si>
    <t>Desarrollo de mecanismos para las nuevas variedades</t>
  </si>
  <si>
    <r>
      <t>Desde 2021, anual</t>
    </r>
    <r>
      <rPr>
        <sz val="9"/>
        <color rgb="FFFF0000"/>
        <rFont val="Arial"/>
        <family val="2"/>
      </rPr>
      <t/>
    </r>
  </si>
  <si>
    <t>Presupuesto COP 2019 Actividad 3.2.1</t>
  </si>
  <si>
    <t>Presupuesto COP 2019 Actividad 3.2.2</t>
  </si>
  <si>
    <t>Presupuesto COP 2019 Actividad 3.2.3</t>
  </si>
  <si>
    <t>Presupuesto COP 2019 Actividad 3.2.4</t>
  </si>
  <si>
    <t>Otro fortalecimiento</t>
  </si>
  <si>
    <t>5Personas/4 semanas</t>
  </si>
  <si>
    <t>Personal para monitoreo</t>
  </si>
  <si>
    <t>Otros mecanismos de fortalecimiento</t>
  </si>
  <si>
    <t>Presupuesto COP 2019 Actividad 3.2.5</t>
  </si>
  <si>
    <t>Nota: Identificación de los modelos</t>
  </si>
  <si>
    <t xml:space="preserve">Implementación de otros espacios </t>
  </si>
  <si>
    <t>3 días/viajes</t>
  </si>
  <si>
    <t>Equipo de trabajo - consultores 1</t>
  </si>
  <si>
    <t>Equipo de trabajo - consultores 2</t>
  </si>
  <si>
    <t>Viáticos - Equipo de trabajo - consultores 2</t>
  </si>
  <si>
    <t>Viaje nacional - Equipo de trabajo - consultores 2</t>
  </si>
  <si>
    <t>5 días/3 personas</t>
  </si>
  <si>
    <t>Viáticos - Equipo de trabajo - consultores 1</t>
  </si>
  <si>
    <t>Viaje nacional - Equipo de trabajo - consultores 1</t>
  </si>
  <si>
    <t>3 días/persona</t>
  </si>
  <si>
    <t>Estudio de tiempos y movimientos 5 seccionales ICA</t>
  </si>
  <si>
    <t>Presupuesto COP 2019 Actividad 3.2.6</t>
  </si>
  <si>
    <t>Fortalecimiento pasos fronterizos</t>
  </si>
  <si>
    <t>Fortalecimiento puertos</t>
  </si>
  <si>
    <t xml:space="preserve">Nota: Dedicación compartida con actividad 3.3.6 </t>
  </si>
  <si>
    <t>Kits de inspección (duración 3 años)</t>
  </si>
  <si>
    <t>Desde el 2021, cada 3 años</t>
  </si>
  <si>
    <t>Presupuesto COP 2019 Actividad 3.3.5</t>
  </si>
  <si>
    <t xml:space="preserve">Nota: Dedicación compartida con actividad 3.2.6 </t>
  </si>
  <si>
    <t>Presupuesto COP 2019 Actividad 3.3.6</t>
  </si>
  <si>
    <t>30muestras/región</t>
  </si>
  <si>
    <t>Personal monitoreo</t>
  </si>
  <si>
    <t>Toma de muestras en campo</t>
  </si>
  <si>
    <t>600 muestras/3 al año</t>
  </si>
  <si>
    <t xml:space="preserve">Toma de muestras </t>
  </si>
  <si>
    <t>Dedicaciòn</t>
  </si>
  <si>
    <t>Presupuesto COP 2019 Actividad 3.4.1</t>
  </si>
  <si>
    <t>Presupuesto COP 2019 Actividad 3.4.2</t>
  </si>
  <si>
    <t>Presupuesto COP 2019 Actividad 3.4.3</t>
  </si>
  <si>
    <t>Presupuesto COP 2019 Actividad 3.4.4</t>
  </si>
  <si>
    <t>Presupuesto COP 2019 Actividad 6.2.5</t>
  </si>
  <si>
    <t>Otros mecanismos de fomento</t>
  </si>
  <si>
    <t xml:space="preserve">Nota: 3 reuniones anuales de 3 días, capacitación de 60 personas  </t>
  </si>
  <si>
    <t>3 dìas/viaje</t>
  </si>
  <si>
    <t>Equipo de trabajo 1</t>
  </si>
  <si>
    <t>Equipo de trabajo 2</t>
  </si>
  <si>
    <t xml:space="preserve">Otras necesidades para el levantamiento, actualización y publicación de información estadística y geográfica acorde con las necesidades identificadas para la cadena de arroz </t>
  </si>
  <si>
    <t>Nota: Actualización de la información se relacionan los rubros coordinador, equipo de trabajo 1 y eventos de difusión y publicaciones</t>
  </si>
  <si>
    <t>Estudios especializados</t>
  </si>
  <si>
    <t>Nota: Estudios especializados incluye contratación de consultores especializados, a nivel de coordinador y equipo de trabajo, viáticos y eventos</t>
  </si>
  <si>
    <t>Funcionario - reportes</t>
  </si>
  <si>
    <t>Generacion de espacios  de articulación - Talleres</t>
  </si>
  <si>
    <t>Implementación de modelos asociativos</t>
  </si>
  <si>
    <t>5.2.1. Manejo de los riesgos con enfoque integral (mecanismos de transferencia de riesgos) en el marco de la estrategia 360 grados</t>
  </si>
  <si>
    <t>Infraestructura de secamiento región Bajo Cauca</t>
  </si>
  <si>
    <t>Infraestructura de secamiento región Santanderes</t>
  </si>
  <si>
    <t>Infraestructura de secamiento región Costa Norte</t>
  </si>
  <si>
    <t>Infraestructura de secamiento región Llanos</t>
  </si>
  <si>
    <t>Infraestructura de secamiento región Centro</t>
  </si>
  <si>
    <t>Otras mejoras en la infraestructura de secamiento y almacenamiento</t>
  </si>
  <si>
    <t>Infraestructura de almacenamiento región Bajo Cauca</t>
  </si>
  <si>
    <t>Infraestructura de almacenamiento región Santanderes</t>
  </si>
  <si>
    <t>silos</t>
  </si>
  <si>
    <t>Infraestructura de almacenamiento región Costa Norte</t>
  </si>
  <si>
    <t>Infraestructura de almacenamiento región Llanos</t>
  </si>
  <si>
    <t>Infraestructura de almacenamiento región Centro</t>
  </si>
  <si>
    <r>
      <rPr>
        <b/>
        <sz val="9"/>
        <color theme="1"/>
        <rFont val="Arial"/>
        <family val="2"/>
      </rPr>
      <t xml:space="preserve">Nota: </t>
    </r>
    <r>
      <rPr>
        <sz val="9"/>
        <color theme="1"/>
        <rFont val="Arial"/>
        <family val="2"/>
      </rPr>
      <t xml:space="preserve">Cálculo de silos por región se toma sobre un silo de capacidad de 4.000 toneladas que atiende 900 ha excepto en la zona llanos se toma sobre un silo de 6.000 toneladas que atiende un área de 1.283 ha. A su vez se tomaron las áreas sembradas del primer semestre de 2017 bajo el supuesto de almcenamiento y secamiento del 30% así: Región Bajo Cauca 53.986 ha (30% 16.196 ha), Santanderes 23.854 ha (30% 7.156 ha), Costa Norte 16.384 (30% 4.915 Ha), Llanos 245.396 (30% 73.619 Ha) y Centro 74.439 Ha (30% 22.332 Ha) </t>
    </r>
  </si>
  <si>
    <t>Nota: Se toma el valor del apoyo a la comercialización del 2018 para los primeros, posteriormente según se ajusten los instrumentos de mercados se entiende como presupuesto relativo</t>
  </si>
  <si>
    <t>Consultor - Apoyo instrumentos de mercado</t>
  </si>
  <si>
    <t>Si bien esta actividad inicia en el 2020, no se consideró ninguna estimación presupuestal para este primer año en la ejecución operativa de la declaración y adopción de los lineamientos de política para la cadena de arroz, los siguientes años se tuvo en cuenta la gestión y promoción</t>
  </si>
  <si>
    <t>Campo</t>
  </si>
  <si>
    <r>
      <t xml:space="preserve">Se relacionan en el orden del portafolio de programas y proyectos, los </t>
    </r>
    <r>
      <rPr>
        <b/>
        <sz val="9"/>
        <color theme="1"/>
        <rFont val="Arial"/>
        <family val="2"/>
      </rPr>
      <t>9 programas, 26 proyectos y 120 actividades</t>
    </r>
  </si>
  <si>
    <t>2020/ 2021/ 2022/ …. /2038</t>
  </si>
  <si>
    <t>Parámetros</t>
  </si>
  <si>
    <t>Presupuesto detallado</t>
  </si>
  <si>
    <t>En este anexo se presentan los detalles de los cálculos realizados para estimar el presupuesto, en pesos constantes de 2019, del plan de acción para la cadena de arroz, de los 9 programas, 26 proyectos y 120 actividades que lograron ser presupuestadas.</t>
  </si>
  <si>
    <t>Esta hoja contiene los principales parámetros empleados para construir la estimación presupuestal. En su interior se relaciona el concepto presupuesto relativo, número de regiones consideradas, la información de tabla de honorarios y viáticos utilizada y otros parámetros como el costo asignado a viajes nacionales o internacionales, publicaciones y tasa de cambio USD, empleada</t>
  </si>
  <si>
    <t>Presupuesto síntesis</t>
  </si>
  <si>
    <t>PROGRAMA - PROYECTO-ACTIVIDAD/AÑO (2020 - 2038)</t>
  </si>
  <si>
    <r>
      <t xml:space="preserve">Se relacionan en el orden del portafolio de programas y proyectos, los </t>
    </r>
    <r>
      <rPr>
        <b/>
        <sz val="9"/>
        <color theme="1"/>
        <rFont val="Arial"/>
        <family val="2"/>
      </rPr>
      <t>9 programas, 26 proyectos y 120 actividades</t>
    </r>
    <r>
      <rPr>
        <sz val="9"/>
        <color theme="1"/>
        <rFont val="Arial"/>
        <family val="2"/>
      </rPr>
      <t xml:space="preserve"> </t>
    </r>
  </si>
  <si>
    <r>
      <t xml:space="preserve">Representa el </t>
    </r>
    <r>
      <rPr>
        <b/>
        <sz val="9"/>
        <color theme="1"/>
        <rFont val="Arial"/>
        <family val="2"/>
      </rPr>
      <t>porcentaje</t>
    </r>
    <r>
      <rPr>
        <sz val="9"/>
        <color theme="1"/>
        <rFont val="Arial"/>
        <family val="2"/>
      </rPr>
      <t xml:space="preserve"> del programa, proyecto y actividades, frente al 100% del valor estimado del presupuesto del Plan de acción</t>
    </r>
  </si>
  <si>
    <t>P1.1, P1.2, P1.3…P9.4</t>
  </si>
  <si>
    <t>Programa</t>
  </si>
  <si>
    <t>Proyecto</t>
  </si>
  <si>
    <t xml:space="preserve">Se generó una hoja para cada uno de los 26 proyectos que conforman el portafolio, representados por el código asignado a cada proyecto en el portafolio de programas y proyectos </t>
  </si>
  <si>
    <r>
      <t>Contiene los valores presupuestados en</t>
    </r>
    <r>
      <rPr>
        <b/>
        <sz val="9"/>
        <color theme="1"/>
        <rFont val="Arial"/>
        <family val="2"/>
      </rPr>
      <t xml:space="preserve"> pesos</t>
    </r>
    <r>
      <rPr>
        <sz val="9"/>
        <color theme="1"/>
        <rFont val="Arial"/>
        <family val="2"/>
      </rPr>
      <t xml:space="preserve"> constantes de 2019 para </t>
    </r>
    <r>
      <rPr>
        <b/>
        <sz val="9"/>
        <color theme="1"/>
        <rFont val="Arial"/>
        <family val="2"/>
      </rPr>
      <t>cada año desde 2020 hasta 2038</t>
    </r>
    <r>
      <rPr>
        <sz val="9"/>
        <color theme="1"/>
        <rFont val="Arial"/>
        <family val="2"/>
      </rPr>
      <t>, dispuestos para los 9 programas, 26 proyectos y 120 actividades. Estos valores están vinculados desde cada hoja de proyecto "P1.1, P1.2…P9.4"</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</si>
  <si>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primer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2019 a 2022</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</si>
  <si>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segundo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2023 a 2032</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</si>
  <si>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tercer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2033 a 2038</t>
    </r>
  </si>
  <si>
    <t xml:space="preserve">Nombre del programa al que corresponde el proyecto, se vincula de los nombres de los 9 programas dispuestos en la hoja "presupuesto detallado" </t>
  </si>
  <si>
    <t>Años en los cuales se ejecutaría la actividad</t>
  </si>
  <si>
    <t>Contiene los  valores en pesos constantes de 2019 de cada actividad acorde con los conceptos presupuestados y su ejecución en el tiempo. Estos valores están vinculados desde los cuadros específicos para cada actividad, dispuesto en la misma hoja para cada proyecto</t>
  </si>
  <si>
    <t>2020, 2021 …2038</t>
  </si>
  <si>
    <t xml:space="preserve">Nombre del proyecto correspondientes, se vincula de los nombres de los 26 proyectos dispuestos en la hoja "presupuesto detallado" </t>
  </si>
  <si>
    <t>Se relacionan las actividades que conforman cada proyecto. Están vinculas desde la hoja "presupuesto detallado"</t>
  </si>
  <si>
    <t xml:space="preserve">Relaciona los conceptos presupuestados o con presupuesto relativo al interior de cada actividad, señalando según sea el caso la cantidad, unidad (persona, viaje, semanas), valor unitario, dedicación en porcentaje y tiempo en meses para consultores y funcionarios y total año, producto de la multiplicación de los ítems mencionados según corresponda. Para las actividades que lo requiere, se relacionan notas aclaratorias del costeo realizado  </t>
  </si>
  <si>
    <t>Contiene el valor estimado de la actividad, durante su ejecución y se obtiene de la sumatoria horizontal para cada una de estas</t>
  </si>
  <si>
    <t>P. ej. Presupuesto Actividad 1.1.1</t>
  </si>
  <si>
    <r>
      <t xml:space="preserve">Contiene los valores totales presupuestados en </t>
    </r>
    <r>
      <rPr>
        <b/>
        <sz val="9"/>
        <color theme="1"/>
        <rFont val="Arial"/>
        <family val="2"/>
      </rPr>
      <t xml:space="preserve">pesos </t>
    </r>
    <r>
      <rPr>
        <sz val="9"/>
        <color theme="1"/>
        <rFont val="Arial"/>
        <family val="2"/>
      </rPr>
      <t>constantes de 2019 para cada programa, proyecto, actividad  y totales, a partir de la sumatoria horizontal para cada programa, proyecto y actividad</t>
    </r>
  </si>
  <si>
    <t>Anexo. Presupuesto detallado - Plan de acción para la cadena de arroz</t>
  </si>
  <si>
    <t>En las diferentes hojas se encuentran celdas testigo para verificar la coherencia de las fórmulas vinculadas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</si>
</sst>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_-;\-* #,##0_-;_-* &quot;-&quot;_-;_-@_-"/>
    <numFmt numFmtId="165" formatCode="_-&quot;$&quot;* #,##0.00_-;\-&quot;$&quot;* #,##0.00_-;_-&quot;$&quot;* &quot;-&quot;??_-;_-@_-"/>
    <numFmt numFmtId="166" formatCode="_-* #,##0.00_-;\-* #,##0.00_-;_-* &quot;-&quot;??_-;_-@_-"/>
    <numFmt numFmtId="167" formatCode="_-* #,##0\ &quot;€&quot;_-;\-* #,##0\ &quot;€&quot;_-;_-* &quot;-&quot;\ &quot;€&quot;_-;_-@_-"/>
    <numFmt numFmtId="168" formatCode="_-&quot;$&quot;\ * #,##0_-;\-&quot;$&quot;\ * #,##0_-;_-&quot;$&quot;\ * &quot;-&quot;_-;_-@_-"/>
    <numFmt numFmtId="169" formatCode="_-* #,##0_-;\-* #,##0_-;_-* &quot;-&quot;??_-;_-@_-"/>
    <numFmt numFmtId="170" formatCode="&quot;$&quot;\ #,##0"/>
    <numFmt numFmtId="171" formatCode="&quot;$&quot;#,##0"/>
    <numFmt numFmtId="172" formatCode="_-[$$-240A]\ * #,##0.00_-;\-[$$-240A]\ * #,##0.00_-;_-[$$-240A]\ * &quot;-&quot;??_-;_-@_-"/>
    <numFmt numFmtId="173" formatCode="_-[$$-240A]\ * #,##0_-;\-[$$-240A]\ * #,##0_-;_-[$$-240A]\ * &quot;-&quot;??_-;_-@_-"/>
    <numFmt numFmtId="174" formatCode="0.0%"/>
    <numFmt numFmtId="175" formatCode="_-* #,##0.0_-;\-* #,##0.0_-;_-* &quot;-&quot;??_-;_-@_-"/>
    <numFmt numFmtId="176" formatCode="_-&quot;$&quot;* #,##0_-;\-&quot;$&quot;* #,##0_-;_-&quot;$&quot;* &quot;-&quot;??_-;_-@_-"/>
    <numFmt numFmtId="177" formatCode="0.000%"/>
  </numFmts>
  <fonts count="20" x14ac:knownFonts="1">
    <font>
      <sz val="11"/>
      <color theme="1"/>
      <name val="Calibri"/>
      <family val="2"/>
      <scheme val="minor"/>
    </font>
    <font>
      <sz val="11"/>
      <color theme="1"/>
      <name val="Calibri"/>
      <family val="2"/>
      <scheme val="minor"/>
    </font>
    <font>
      <b/>
      <u/>
      <sz val="9"/>
      <color theme="1"/>
      <name val="Arial"/>
      <family val="2"/>
    </font>
    <font>
      <b/>
      <sz val="8"/>
      <color theme="1"/>
      <name val="Arial"/>
      <family val="2"/>
    </font>
    <font>
      <b/>
      <u/>
      <sz val="10"/>
      <color theme="1"/>
      <name val="Arial"/>
      <family val="2"/>
    </font>
    <font>
      <sz val="8"/>
      <color theme="1"/>
      <name val="Arial"/>
      <family val="2"/>
    </font>
    <font>
      <sz val="10"/>
      <color theme="1"/>
      <name val="Arial"/>
      <family val="2"/>
    </font>
    <font>
      <sz val="9"/>
      <color theme="1"/>
      <name val="Arial"/>
      <family val="2"/>
    </font>
    <font>
      <b/>
      <u/>
      <sz val="8"/>
      <color theme="1"/>
      <name val="Arial"/>
      <family val="2"/>
    </font>
    <font>
      <b/>
      <sz val="9"/>
      <color theme="1"/>
      <name val="Arial"/>
      <family val="2"/>
    </font>
    <font>
      <sz val="9"/>
      <name val="Arial"/>
      <family val="2"/>
    </font>
    <font>
      <sz val="9"/>
      <color theme="4" tint="-0.499984740745262"/>
      <name val="Arial"/>
      <family val="2"/>
    </font>
    <font>
      <sz val="9"/>
      <color rgb="FFFF0000"/>
      <name val="Arial"/>
      <family val="2"/>
    </font>
    <font>
      <b/>
      <sz val="10"/>
      <color theme="1"/>
      <name val="Arial"/>
      <family val="2"/>
    </font>
    <font>
      <b/>
      <u/>
      <sz val="9"/>
      <name val="Arial"/>
      <family val="2"/>
    </font>
    <font>
      <sz val="9"/>
      <color rgb="FF00B050"/>
      <name val="Arial"/>
      <family val="2"/>
    </font>
    <font>
      <sz val="8"/>
      <name val="Calibri"/>
      <family val="2"/>
      <scheme val="minor"/>
    </font>
    <font>
      <sz val="11"/>
      <color rgb="FFFF0000"/>
      <name val="Calibri"/>
      <family val="2"/>
      <scheme val="minor"/>
    </font>
    <font>
      <sz val="11"/>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6">
    <xf numFmtId="0" fontId="0" fillId="0" borderId="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333">
    <xf numFmtId="0" fontId="0" fillId="0" borderId="0" xfId="0"/>
    <xf numFmtId="0" fontId="0" fillId="2" borderId="0" xfId="0" applyFill="1"/>
    <xf numFmtId="0" fontId="2" fillId="2" borderId="0" xfId="0" applyFont="1" applyFill="1"/>
    <xf numFmtId="0" fontId="3" fillId="2" borderId="1" xfId="0" applyFont="1" applyFill="1" applyBorder="1" applyAlignment="1">
      <alignment horizontal="center" vertical="center"/>
    </xf>
    <xf numFmtId="0" fontId="4" fillId="2" borderId="0" xfId="0" applyFont="1" applyFill="1" applyAlignment="1"/>
    <xf numFmtId="0" fontId="7" fillId="2" borderId="0" xfId="0" applyFont="1" applyFill="1"/>
    <xf numFmtId="0" fontId="8" fillId="2" borderId="0" xfId="0" applyFont="1" applyFill="1"/>
    <xf numFmtId="0" fontId="5" fillId="2" borderId="0" xfId="0" applyFont="1" applyFill="1"/>
    <xf numFmtId="0" fontId="9" fillId="2" borderId="3" xfId="0" applyFont="1" applyFill="1" applyBorder="1" applyAlignment="1">
      <alignment vertical="center" wrapText="1"/>
    </xf>
    <xf numFmtId="0" fontId="9" fillId="2" borderId="3" xfId="0" applyFont="1" applyFill="1" applyBorder="1" applyAlignment="1">
      <alignment horizontal="left" vertical="center" wrapText="1"/>
    </xf>
    <xf numFmtId="0" fontId="9" fillId="2" borderId="1" xfId="0" applyFont="1" applyFill="1" applyBorder="1" applyAlignment="1">
      <alignment horizontal="center" wrapText="1"/>
    </xf>
    <xf numFmtId="0" fontId="13" fillId="2" borderId="1" xfId="0" applyFont="1" applyFill="1" applyBorder="1" applyAlignment="1">
      <alignment horizontal="center" vertical="center"/>
    </xf>
    <xf numFmtId="0" fontId="7" fillId="2" borderId="3" xfId="0" applyFont="1" applyFill="1" applyBorder="1" applyAlignment="1">
      <alignment horizontal="left" vertical="center" wrapText="1" indent="2"/>
    </xf>
    <xf numFmtId="0" fontId="9" fillId="2" borderId="1" xfId="0" applyFont="1" applyFill="1" applyBorder="1" applyAlignment="1">
      <alignment horizontal="center"/>
    </xf>
    <xf numFmtId="0" fontId="7" fillId="2" borderId="1" xfId="0" applyFont="1" applyFill="1" applyBorder="1"/>
    <xf numFmtId="0" fontId="13" fillId="2" borderId="0" xfId="0" applyFont="1" applyFill="1"/>
    <xf numFmtId="0" fontId="6" fillId="2" borderId="0" xfId="0" applyFont="1" applyFill="1" applyAlignment="1">
      <alignment vertical="center"/>
    </xf>
    <xf numFmtId="0" fontId="13" fillId="2" borderId="2"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0" fillId="2" borderId="1" xfId="0" applyFill="1" applyBorder="1"/>
    <xf numFmtId="1" fontId="7" fillId="2" borderId="1" xfId="3" applyNumberFormat="1" applyFont="1" applyFill="1" applyBorder="1"/>
    <xf numFmtId="167" fontId="7" fillId="2" borderId="1" xfId="3" applyFont="1" applyFill="1" applyBorder="1" applyAlignment="1">
      <alignment horizontal="center"/>
    </xf>
    <xf numFmtId="1" fontId="7" fillId="2" borderId="1" xfId="3" applyNumberFormat="1" applyFont="1" applyFill="1" applyBorder="1" applyAlignment="1">
      <alignment horizontal="center"/>
    </xf>
    <xf numFmtId="0" fontId="9" fillId="2" borderId="1" xfId="0" applyFont="1" applyFill="1" applyBorder="1" applyAlignment="1">
      <alignment horizontal="right"/>
    </xf>
    <xf numFmtId="0" fontId="9" fillId="2" borderId="1" xfId="0" applyFont="1" applyFill="1" applyBorder="1"/>
    <xf numFmtId="168" fontId="9" fillId="2" borderId="1" xfId="0" applyNumberFormat="1" applyFont="1" applyFill="1" applyBorder="1" applyAlignment="1">
      <alignment horizontal="center"/>
    </xf>
    <xf numFmtId="167" fontId="9" fillId="2" borderId="1" xfId="3" applyFont="1" applyFill="1" applyBorder="1" applyAlignment="1">
      <alignment horizontal="center"/>
    </xf>
    <xf numFmtId="0" fontId="12" fillId="2" borderId="0" xfId="0" applyFont="1" applyFill="1"/>
    <xf numFmtId="0" fontId="3" fillId="2" borderId="1" xfId="0" applyFont="1" applyFill="1" applyBorder="1" applyAlignment="1">
      <alignment horizontal="center"/>
    </xf>
    <xf numFmtId="0" fontId="5" fillId="0" borderId="0" xfId="0" applyFont="1"/>
    <xf numFmtId="0" fontId="5" fillId="0" borderId="1" xfId="0" applyFont="1" applyBorder="1" applyAlignment="1">
      <alignment horizontal="center" vertical="center"/>
    </xf>
    <xf numFmtId="169" fontId="5" fillId="0" borderId="1" xfId="1" applyNumberFormat="1" applyFont="1" applyBorder="1" applyAlignment="1">
      <alignment horizontal="center" vertical="center"/>
    </xf>
    <xf numFmtId="0" fontId="3" fillId="2" borderId="5" xfId="0" applyFont="1" applyFill="1" applyBorder="1" applyAlignment="1">
      <alignment horizontal="center" vertical="center"/>
    </xf>
    <xf numFmtId="169" fontId="5" fillId="0" borderId="1" xfId="1" applyNumberFormat="1" applyFont="1" applyFill="1" applyBorder="1" applyAlignment="1">
      <alignment horizontal="center" vertical="center"/>
    </xf>
    <xf numFmtId="0" fontId="5" fillId="0" borderId="1" xfId="0" applyFont="1" applyBorder="1" applyAlignment="1">
      <alignment horizontal="center"/>
    </xf>
    <xf numFmtId="164" fontId="5" fillId="2" borderId="1" xfId="2" applyFont="1" applyFill="1" applyBorder="1" applyAlignment="1">
      <alignment horizontal="center"/>
    </xf>
    <xf numFmtId="164" fontId="5" fillId="2" borderId="0" xfId="2" applyFont="1" applyFill="1"/>
    <xf numFmtId="0" fontId="14" fillId="2" borderId="0" xfId="0" applyFont="1" applyFill="1"/>
    <xf numFmtId="164" fontId="5" fillId="2" borderId="0" xfId="2" applyFont="1" applyFill="1" applyBorder="1" applyAlignment="1">
      <alignment horizontal="center"/>
    </xf>
    <xf numFmtId="0" fontId="7"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0" fillId="2" borderId="0" xfId="0" applyFill="1" applyBorder="1"/>
    <xf numFmtId="0" fontId="5" fillId="2" borderId="0" xfId="0" applyFont="1" applyFill="1" applyBorder="1" applyAlignment="1">
      <alignment horizontal="center" vertical="center"/>
    </xf>
    <xf numFmtId="169" fontId="5" fillId="2" borderId="0" xfId="1" applyNumberFormat="1" applyFont="1" applyFill="1" applyBorder="1" applyAlignment="1">
      <alignment horizontal="center" vertical="center"/>
    </xf>
    <xf numFmtId="0" fontId="5" fillId="2" borderId="0" xfId="0" applyFont="1" applyFill="1" applyBorder="1" applyAlignment="1">
      <alignment horizontal="center"/>
    </xf>
    <xf numFmtId="0" fontId="5" fillId="2" borderId="0" xfId="0" applyFont="1" applyFill="1" applyBorder="1" applyAlignment="1">
      <alignment horizontal="left" vertical="center" wrapText="1"/>
    </xf>
    <xf numFmtId="0" fontId="5" fillId="2" borderId="1" xfId="0" applyFont="1" applyFill="1" applyBorder="1"/>
    <xf numFmtId="164" fontId="5" fillId="2" borderId="1" xfId="2" applyFont="1" applyFill="1" applyBorder="1"/>
    <xf numFmtId="170" fontId="7" fillId="2" borderId="1" xfId="3" applyNumberFormat="1" applyFont="1" applyFill="1" applyBorder="1" applyAlignment="1">
      <alignment horizontal="center"/>
    </xf>
    <xf numFmtId="170" fontId="9" fillId="2" borderId="1" xfId="3" applyNumberFormat="1" applyFont="1" applyFill="1" applyBorder="1" applyAlignment="1">
      <alignment horizontal="center"/>
    </xf>
    <xf numFmtId="0" fontId="7" fillId="2" borderId="5" xfId="0" applyFont="1" applyFill="1" applyBorder="1"/>
    <xf numFmtId="170" fontId="0" fillId="2" borderId="1" xfId="0" applyNumberFormat="1" applyFill="1" applyBorder="1"/>
    <xf numFmtId="170" fontId="7" fillId="2" borderId="1" xfId="3" applyNumberFormat="1" applyFont="1" applyFill="1" applyBorder="1" applyAlignment="1">
      <alignment horizontal="center" vertical="center" wrapText="1"/>
    </xf>
    <xf numFmtId="0" fontId="7" fillId="2" borderId="1" xfId="0" applyFont="1" applyFill="1" applyBorder="1" applyAlignment="1">
      <alignment wrapText="1"/>
    </xf>
    <xf numFmtId="1" fontId="7" fillId="2" borderId="1" xfId="3" applyNumberFormat="1" applyFont="1" applyFill="1" applyBorder="1" applyAlignment="1">
      <alignment vertical="center"/>
    </xf>
    <xf numFmtId="0" fontId="7" fillId="2" borderId="1" xfId="0" applyFont="1" applyFill="1" applyBorder="1" applyAlignment="1">
      <alignment vertical="center"/>
    </xf>
    <xf numFmtId="170" fontId="7" fillId="2" borderId="1" xfId="3" applyNumberFormat="1" applyFont="1" applyFill="1" applyBorder="1" applyAlignment="1">
      <alignment horizontal="center" vertical="center"/>
    </xf>
    <xf numFmtId="170" fontId="9" fillId="2" borderId="1" xfId="0" applyNumberFormat="1" applyFont="1" applyFill="1" applyBorder="1" applyAlignment="1">
      <alignment horizontal="center"/>
    </xf>
    <xf numFmtId="0" fontId="9" fillId="2" borderId="0" xfId="0" applyFont="1" applyFill="1" applyBorder="1" applyAlignment="1">
      <alignment horizontal="right"/>
    </xf>
    <xf numFmtId="170" fontId="9" fillId="2" borderId="0" xfId="0" applyNumberFormat="1" applyFont="1" applyFill="1" applyBorder="1" applyAlignment="1">
      <alignment horizontal="center"/>
    </xf>
    <xf numFmtId="170" fontId="9" fillId="2" borderId="1" xfId="3" applyNumberFormat="1" applyFont="1" applyFill="1" applyBorder="1" applyAlignment="1">
      <alignment horizontal="center" vertical="center"/>
    </xf>
    <xf numFmtId="164" fontId="7" fillId="2" borderId="3" xfId="2" applyFont="1" applyFill="1" applyBorder="1" applyAlignment="1">
      <alignment vertical="center" wrapText="1"/>
    </xf>
    <xf numFmtId="169" fontId="7" fillId="2" borderId="3" xfId="0" applyNumberFormat="1" applyFont="1" applyFill="1" applyBorder="1" applyAlignment="1">
      <alignment vertical="center"/>
    </xf>
    <xf numFmtId="169" fontId="9" fillId="2" borderId="3" xfId="1" applyNumberFormat="1" applyFont="1" applyFill="1" applyBorder="1" applyAlignment="1">
      <alignment vertical="center"/>
    </xf>
    <xf numFmtId="169" fontId="9" fillId="2" borderId="3" xfId="0" applyNumberFormat="1" applyFont="1" applyFill="1" applyBorder="1" applyAlignment="1">
      <alignment vertical="center"/>
    </xf>
    <xf numFmtId="0" fontId="5" fillId="2" borderId="0" xfId="0" applyFont="1" applyFill="1" applyBorder="1"/>
    <xf numFmtId="164" fontId="5" fillId="2" borderId="0" xfId="2" applyFont="1" applyFill="1" applyBorder="1"/>
    <xf numFmtId="0" fontId="7" fillId="2" borderId="5" xfId="0" applyFont="1" applyFill="1" applyBorder="1" applyAlignment="1">
      <alignment vertical="center"/>
    </xf>
    <xf numFmtId="170" fontId="9" fillId="2" borderId="0" xfId="3" applyNumberFormat="1" applyFont="1" applyFill="1" applyBorder="1" applyAlignment="1">
      <alignment horizontal="center" vertical="center"/>
    </xf>
    <xf numFmtId="170" fontId="9" fillId="2" borderId="0" xfId="3" applyNumberFormat="1" applyFont="1" applyFill="1" applyBorder="1" applyAlignment="1">
      <alignment horizontal="center"/>
    </xf>
    <xf numFmtId="0" fontId="15" fillId="2" borderId="1" xfId="0" applyFont="1" applyFill="1" applyBorder="1" applyAlignment="1">
      <alignment horizontal="center" vertical="center" wrapText="1"/>
    </xf>
    <xf numFmtId="170" fontId="7" fillId="3" borderId="1" xfId="3" applyNumberFormat="1" applyFont="1" applyFill="1" applyBorder="1" applyAlignment="1">
      <alignment horizontal="center" vertical="center"/>
    </xf>
    <xf numFmtId="171" fontId="7" fillId="2" borderId="1" xfId="3" applyNumberFormat="1" applyFont="1" applyFill="1" applyBorder="1" applyAlignment="1">
      <alignment horizontal="center"/>
    </xf>
    <xf numFmtId="0" fontId="6" fillId="2" borderId="0" xfId="0" applyFont="1" applyFill="1"/>
    <xf numFmtId="171" fontId="7" fillId="2" borderId="1" xfId="3" applyNumberFormat="1" applyFont="1" applyFill="1" applyBorder="1" applyAlignment="1">
      <alignment horizontal="center" wrapText="1"/>
    </xf>
    <xf numFmtId="171" fontId="9" fillId="2" borderId="1" xfId="3" applyNumberFormat="1" applyFont="1" applyFill="1" applyBorder="1" applyAlignment="1">
      <alignment horizontal="center"/>
    </xf>
    <xf numFmtId="169" fontId="7" fillId="2" borderId="1" xfId="1" applyNumberFormat="1" applyFont="1" applyFill="1" applyBorder="1" applyAlignment="1">
      <alignment horizontal="center"/>
    </xf>
    <xf numFmtId="0" fontId="9" fillId="2" borderId="1" xfId="0" applyFont="1" applyFill="1" applyBorder="1" applyAlignment="1"/>
    <xf numFmtId="169" fontId="7" fillId="2" borderId="1" xfId="1" applyNumberFormat="1" applyFont="1" applyFill="1" applyBorder="1" applyAlignment="1">
      <alignment horizontal="center" vertical="center"/>
    </xf>
    <xf numFmtId="1" fontId="7" fillId="2" borderId="1" xfId="3" applyNumberFormat="1" applyFont="1" applyFill="1" applyBorder="1" applyAlignment="1">
      <alignment horizontal="center" vertical="center"/>
    </xf>
    <xf numFmtId="169" fontId="0" fillId="2" borderId="0" xfId="1" applyNumberFormat="1" applyFont="1" applyFill="1"/>
    <xf numFmtId="0" fontId="7" fillId="2" borderId="0" xfId="0" applyFont="1" applyFill="1" applyAlignment="1">
      <alignment horizontal="center"/>
    </xf>
    <xf numFmtId="0" fontId="7" fillId="2" borderId="0" xfId="0" applyFont="1" applyFill="1" applyAlignment="1">
      <alignment vertical="center"/>
    </xf>
    <xf numFmtId="0" fontId="9" fillId="2" borderId="1" xfId="0" applyFont="1" applyFill="1" applyBorder="1" applyAlignment="1">
      <alignment horizontal="center" vertical="center"/>
    </xf>
    <xf numFmtId="169" fontId="7" fillId="2" borderId="3" xfId="1" applyNumberFormat="1" applyFont="1" applyFill="1" applyBorder="1" applyAlignment="1">
      <alignment vertical="center" wrapText="1"/>
    </xf>
    <xf numFmtId="169" fontId="9" fillId="2" borderId="1" xfId="0" applyNumberFormat="1" applyFont="1" applyFill="1" applyBorder="1" applyAlignment="1">
      <alignment vertical="center"/>
    </xf>
    <xf numFmtId="169" fontId="9" fillId="2" borderId="3" xfId="1" applyNumberFormat="1" applyFont="1" applyFill="1" applyBorder="1"/>
    <xf numFmtId="0" fontId="9" fillId="2" borderId="0" xfId="0" applyFont="1" applyFill="1"/>
    <xf numFmtId="0" fontId="9" fillId="2" borderId="0" xfId="0" applyFont="1" applyFill="1" applyAlignment="1">
      <alignment vertical="center"/>
    </xf>
    <xf numFmtId="0" fontId="9" fillId="2" borderId="0" xfId="0" applyFont="1" applyFill="1" applyBorder="1"/>
    <xf numFmtId="0" fontId="7" fillId="2" borderId="0" xfId="0" applyFont="1" applyFill="1" applyBorder="1"/>
    <xf numFmtId="0" fontId="9" fillId="2" borderId="0" xfId="0" applyFont="1" applyFill="1" applyBorder="1" applyAlignment="1">
      <alignment horizontal="center"/>
    </xf>
    <xf numFmtId="168" fontId="9" fillId="2" borderId="0" xfId="0" applyNumberFormat="1" applyFont="1" applyFill="1" applyBorder="1" applyAlignment="1">
      <alignment horizontal="center"/>
    </xf>
    <xf numFmtId="167" fontId="9" fillId="2" borderId="0" xfId="3" applyFont="1" applyFill="1" applyBorder="1" applyAlignment="1">
      <alignment horizontal="center"/>
    </xf>
    <xf numFmtId="169" fontId="9" fillId="2" borderId="1" xfId="1" applyNumberFormat="1" applyFont="1" applyFill="1" applyBorder="1" applyAlignment="1">
      <alignment horizontal="center"/>
    </xf>
    <xf numFmtId="169" fontId="7" fillId="2" borderId="1" xfId="1" applyNumberFormat="1" applyFont="1" applyFill="1" applyBorder="1" applyAlignment="1">
      <alignment horizontal="center" wrapText="1"/>
    </xf>
    <xf numFmtId="167" fontId="7" fillId="2" borderId="1" xfId="3" applyFont="1" applyFill="1" applyBorder="1" applyAlignment="1">
      <alignment horizontal="center" wrapText="1"/>
    </xf>
    <xf numFmtId="167" fontId="7" fillId="2" borderId="1" xfId="3" applyFont="1" applyFill="1" applyBorder="1" applyAlignment="1">
      <alignment horizontal="center" vertical="center" wrapText="1"/>
    </xf>
    <xf numFmtId="0" fontId="4"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wrapText="1"/>
    </xf>
    <xf numFmtId="0" fontId="9" fillId="2" borderId="1" xfId="0" applyFont="1" applyFill="1" applyBorder="1" applyAlignment="1">
      <alignment horizontal="left"/>
    </xf>
    <xf numFmtId="0" fontId="9" fillId="2" borderId="0" xfId="0" applyFont="1" applyFill="1" applyAlignment="1">
      <alignment horizontal="right"/>
    </xf>
    <xf numFmtId="170" fontId="9" fillId="2" borderId="0" xfId="0" applyNumberFormat="1" applyFont="1" applyFill="1" applyAlignment="1">
      <alignment horizontal="center"/>
    </xf>
    <xf numFmtId="0" fontId="0" fillId="2" borderId="0" xfId="0" applyFill="1" applyAlignment="1">
      <alignment wrapText="1"/>
    </xf>
    <xf numFmtId="1" fontId="7" fillId="2" borderId="6" xfId="3" applyNumberFormat="1" applyFont="1" applyFill="1" applyBorder="1"/>
    <xf numFmtId="0" fontId="7" fillId="2" borderId="6" xfId="0" applyFont="1" applyFill="1" applyBorder="1"/>
    <xf numFmtId="1" fontId="7" fillId="2" borderId="2" xfId="3" applyNumberFormat="1" applyFont="1" applyFill="1" applyBorder="1" applyAlignment="1">
      <alignment horizontal="center"/>
    </xf>
    <xf numFmtId="0" fontId="0" fillId="0" borderId="0" xfId="0" applyAlignment="1">
      <alignment wrapText="1"/>
    </xf>
    <xf numFmtId="168" fontId="9" fillId="2" borderId="0" xfId="0" applyNumberFormat="1" applyFont="1" applyFill="1" applyAlignment="1">
      <alignment horizontal="center"/>
    </xf>
    <xf numFmtId="170" fontId="7" fillId="2" borderId="1" xfId="3" applyNumberFormat="1" applyFont="1" applyFill="1" applyBorder="1" applyAlignment="1">
      <alignment horizontal="center" wrapText="1"/>
    </xf>
    <xf numFmtId="0" fontId="9" fillId="2" borderId="8" xfId="0" applyFont="1" applyFill="1" applyBorder="1"/>
    <xf numFmtId="0" fontId="7" fillId="2" borderId="8" xfId="0" applyFont="1" applyFill="1" applyBorder="1"/>
    <xf numFmtId="0" fontId="9" fillId="2" borderId="8" xfId="0" applyFont="1" applyFill="1" applyBorder="1" applyAlignment="1">
      <alignment horizontal="center"/>
    </xf>
    <xf numFmtId="172" fontId="7" fillId="2" borderId="1" xfId="3" applyNumberFormat="1" applyFont="1" applyFill="1" applyBorder="1" applyAlignment="1">
      <alignment horizontal="center"/>
    </xf>
    <xf numFmtId="168" fontId="7" fillId="2" borderId="1" xfId="0" applyNumberFormat="1" applyFont="1" applyFill="1" applyBorder="1" applyAlignment="1">
      <alignment vertical="center"/>
    </xf>
    <xf numFmtId="168" fontId="7" fillId="2" borderId="1" xfId="0" applyNumberFormat="1" applyFont="1" applyFill="1" applyBorder="1" applyAlignment="1">
      <alignment vertical="center" wrapText="1"/>
    </xf>
    <xf numFmtId="9" fontId="7" fillId="2" borderId="1" xfId="4" applyFont="1" applyFill="1" applyBorder="1" applyAlignment="1">
      <alignment horizontal="center"/>
    </xf>
    <xf numFmtId="173" fontId="9" fillId="2" borderId="1" xfId="3" applyNumberFormat="1" applyFont="1" applyFill="1" applyBorder="1" applyAlignment="1">
      <alignment horizontal="center"/>
    </xf>
    <xf numFmtId="1" fontId="7" fillId="2" borderId="1" xfId="0" applyNumberFormat="1" applyFont="1" applyFill="1" applyBorder="1" applyAlignment="1">
      <alignment vertical="center"/>
    </xf>
    <xf numFmtId="173" fontId="7" fillId="2" borderId="1" xfId="3" applyNumberFormat="1" applyFont="1" applyFill="1" applyBorder="1" applyAlignment="1">
      <alignment horizontal="center"/>
    </xf>
    <xf numFmtId="0" fontId="7" fillId="2" borderId="5" xfId="0" applyFont="1" applyFill="1" applyBorder="1" applyAlignment="1">
      <alignment vertical="center" wrapText="1"/>
    </xf>
    <xf numFmtId="173" fontId="7" fillId="2" borderId="6" xfId="3" applyNumberFormat="1" applyFont="1" applyFill="1" applyBorder="1" applyAlignment="1">
      <alignment horizontal="center"/>
    </xf>
    <xf numFmtId="0" fontId="9" fillId="2" borderId="0" xfId="0" applyFont="1" applyFill="1" applyAlignment="1">
      <alignment horizontal="left"/>
    </xf>
    <xf numFmtId="173" fontId="9" fillId="2" borderId="0" xfId="3" applyNumberFormat="1" applyFont="1" applyFill="1" applyBorder="1" applyAlignment="1">
      <alignment horizontal="center"/>
    </xf>
    <xf numFmtId="173" fontId="7" fillId="2" borderId="1" xfId="3" applyNumberFormat="1" applyFont="1" applyFill="1" applyBorder="1" applyAlignment="1">
      <alignment horizontal="center" wrapText="1"/>
    </xf>
    <xf numFmtId="173" fontId="7" fillId="2" borderId="1" xfId="0" applyNumberFormat="1" applyFont="1" applyFill="1" applyBorder="1" applyAlignment="1">
      <alignment vertical="center"/>
    </xf>
    <xf numFmtId="169" fontId="9" fillId="2" borderId="1" xfId="1" applyNumberFormat="1" applyFont="1" applyFill="1" applyBorder="1" applyAlignment="1">
      <alignment horizontal="center" vertical="center"/>
    </xf>
    <xf numFmtId="0" fontId="9" fillId="2" borderId="1" xfId="0" applyFont="1" applyFill="1" applyBorder="1" applyAlignment="1">
      <alignment horizontal="right"/>
    </xf>
    <xf numFmtId="1" fontId="9" fillId="2" borderId="1" xfId="3" applyNumberFormat="1" applyFont="1" applyFill="1" applyBorder="1"/>
    <xf numFmtId="0" fontId="9" fillId="2" borderId="1" xfId="0" applyFont="1" applyFill="1" applyBorder="1" applyAlignment="1">
      <alignment wrapText="1"/>
    </xf>
    <xf numFmtId="1" fontId="9" fillId="2" borderId="1" xfId="3" applyNumberFormat="1" applyFont="1" applyFill="1" applyBorder="1" applyAlignment="1">
      <alignment horizontal="center"/>
    </xf>
    <xf numFmtId="170" fontId="7" fillId="2" borderId="1" xfId="0" applyNumberFormat="1" applyFont="1" applyFill="1" applyBorder="1" applyAlignment="1">
      <alignment vertical="center"/>
    </xf>
    <xf numFmtId="167" fontId="7" fillId="2" borderId="1" xfId="3" applyFont="1" applyFill="1" applyBorder="1" applyAlignment="1">
      <alignment horizontal="center" vertical="center"/>
    </xf>
    <xf numFmtId="168" fontId="9" fillId="2" borderId="1" xfId="0" applyNumberFormat="1" applyFont="1" applyFill="1" applyBorder="1" applyAlignment="1">
      <alignment horizontal="center" vertical="center"/>
    </xf>
    <xf numFmtId="0" fontId="9" fillId="2" borderId="2" xfId="0" applyFont="1" applyFill="1" applyBorder="1" applyAlignment="1">
      <alignment horizontal="center" vertical="center"/>
    </xf>
    <xf numFmtId="169" fontId="7" fillId="2" borderId="1" xfId="0" applyNumberFormat="1" applyFont="1" applyFill="1" applyBorder="1" applyAlignment="1">
      <alignment vertical="center"/>
    </xf>
    <xf numFmtId="169" fontId="7" fillId="2" borderId="1" xfId="0" applyNumberFormat="1" applyFont="1" applyFill="1" applyBorder="1" applyAlignment="1">
      <alignment vertical="center" wrapText="1"/>
    </xf>
    <xf numFmtId="0" fontId="9" fillId="2" borderId="1" xfId="0" applyFont="1" applyFill="1" applyBorder="1" applyAlignment="1">
      <alignment horizontal="right"/>
    </xf>
    <xf numFmtId="170" fontId="7" fillId="2" borderId="1" xfId="0" applyNumberFormat="1" applyFont="1" applyFill="1" applyBorder="1" applyAlignment="1">
      <alignment vertical="center" wrapText="1"/>
    </xf>
    <xf numFmtId="168" fontId="7" fillId="2" borderId="0" xfId="0" applyNumberFormat="1" applyFont="1" applyFill="1" applyAlignment="1">
      <alignment vertical="center" wrapText="1"/>
    </xf>
    <xf numFmtId="173" fontId="7" fillId="2" borderId="1" xfId="0" applyNumberFormat="1" applyFont="1" applyFill="1" applyBorder="1" applyAlignment="1">
      <alignment vertical="center" wrapText="1"/>
    </xf>
    <xf numFmtId="164" fontId="7" fillId="2" borderId="1" xfId="0" applyNumberFormat="1" applyFont="1" applyFill="1" applyBorder="1" applyAlignment="1">
      <alignment vertical="center" wrapText="1"/>
    </xf>
    <xf numFmtId="169" fontId="7" fillId="2" borderId="6" xfId="1" applyNumberFormat="1" applyFont="1" applyFill="1" applyBorder="1" applyAlignment="1">
      <alignment horizontal="center"/>
    </xf>
    <xf numFmtId="169" fontId="0" fillId="2" borderId="1" xfId="0" applyNumberFormat="1" applyFill="1" applyBorder="1" applyAlignment="1">
      <alignment vertical="center" wrapText="1"/>
    </xf>
    <xf numFmtId="169" fontId="7" fillId="2" borderId="1" xfId="1" applyNumberFormat="1" applyFont="1" applyFill="1" applyBorder="1" applyAlignment="1">
      <alignment horizontal="center" vertical="center" wrapText="1"/>
    </xf>
    <xf numFmtId="169" fontId="7" fillId="2" borderId="3" xfId="1" applyNumberFormat="1" applyFont="1" applyFill="1" applyBorder="1" applyAlignment="1">
      <alignment wrapText="1"/>
    </xf>
    <xf numFmtId="167" fontId="7" fillId="2" borderId="1" xfId="0" applyNumberFormat="1" applyFont="1" applyFill="1" applyBorder="1" applyAlignment="1">
      <alignment vertical="center" wrapText="1"/>
    </xf>
    <xf numFmtId="169" fontId="7" fillId="2" borderId="0" xfId="0" applyNumberFormat="1" applyFont="1" applyFill="1"/>
    <xf numFmtId="170" fontId="9" fillId="2" borderId="1" xfId="3" applyNumberFormat="1" applyFont="1" applyFill="1" applyBorder="1" applyAlignment="1">
      <alignment horizontal="center" vertical="center" wrapText="1"/>
    </xf>
    <xf numFmtId="0" fontId="0" fillId="2" borderId="1" xfId="0" applyFont="1" applyFill="1" applyBorder="1"/>
    <xf numFmtId="0" fontId="0" fillId="2" borderId="0" xfId="0" applyFont="1" applyFill="1"/>
    <xf numFmtId="0" fontId="0" fillId="0" borderId="0" xfId="0" applyAlignment="1">
      <alignment wrapText="1"/>
    </xf>
    <xf numFmtId="0" fontId="7" fillId="2" borderId="0" xfId="0" applyFont="1" applyFill="1" applyBorder="1" applyAlignment="1">
      <alignment horizontal="left" wrapText="1"/>
    </xf>
    <xf numFmtId="170" fontId="7" fillId="2" borderId="6" xfId="3" applyNumberFormat="1" applyFont="1" applyFill="1" applyBorder="1" applyAlignment="1">
      <alignment horizontal="center"/>
    </xf>
    <xf numFmtId="168" fontId="9" fillId="2" borderId="1" xfId="0" applyNumberFormat="1" applyFont="1" applyFill="1" applyBorder="1" applyAlignment="1">
      <alignment vertical="center"/>
    </xf>
    <xf numFmtId="0" fontId="9" fillId="2" borderId="8" xfId="0" applyFont="1" applyFill="1" applyBorder="1" applyAlignment="1">
      <alignment horizontal="right"/>
    </xf>
    <xf numFmtId="168" fontId="7" fillId="2" borderId="1" xfId="0" applyNumberFormat="1" applyFont="1" applyFill="1" applyBorder="1" applyAlignment="1">
      <alignment horizontal="right" vertical="center" wrapText="1"/>
    </xf>
    <xf numFmtId="173" fontId="7" fillId="2" borderId="1" xfId="3" applyNumberFormat="1" applyFont="1" applyFill="1" applyBorder="1" applyAlignment="1">
      <alignment horizontal="center" vertical="center"/>
    </xf>
    <xf numFmtId="173" fontId="9" fillId="2" borderId="1" xfId="0" applyNumberFormat="1" applyFont="1" applyFill="1" applyBorder="1" applyAlignment="1">
      <alignment horizontal="center"/>
    </xf>
    <xf numFmtId="0" fontId="9" fillId="2" borderId="1" xfId="0" applyFont="1" applyFill="1" applyBorder="1" applyAlignment="1">
      <alignment horizontal="right"/>
    </xf>
    <xf numFmtId="168" fontId="9" fillId="2" borderId="1" xfId="0" applyNumberFormat="1" applyFont="1" applyFill="1" applyBorder="1" applyAlignment="1">
      <alignment vertical="center" wrapText="1"/>
    </xf>
    <xf numFmtId="169" fontId="9" fillId="2" borderId="1" xfId="1" applyNumberFormat="1" applyFont="1" applyFill="1" applyBorder="1" applyAlignment="1">
      <alignment horizontal="center" vertical="center" wrapText="1"/>
    </xf>
    <xf numFmtId="169" fontId="9" fillId="2" borderId="1" xfId="0" applyNumberFormat="1" applyFont="1" applyFill="1" applyBorder="1" applyAlignment="1">
      <alignment vertical="center" wrapText="1"/>
    </xf>
    <xf numFmtId="170" fontId="9" fillId="2" borderId="1" xfId="0" applyNumberFormat="1" applyFont="1" applyFill="1" applyBorder="1" applyAlignment="1">
      <alignment vertical="center"/>
    </xf>
    <xf numFmtId="1" fontId="7" fillId="2" borderId="6" xfId="3" applyNumberFormat="1" applyFont="1" applyFill="1" applyBorder="1" applyAlignment="1">
      <alignment vertical="center"/>
    </xf>
    <xf numFmtId="0" fontId="7" fillId="2" borderId="6" xfId="0" applyFont="1" applyFill="1" applyBorder="1" applyAlignment="1">
      <alignment vertical="center" wrapText="1"/>
    </xf>
    <xf numFmtId="170" fontId="7" fillId="2" borderId="6" xfId="3" applyNumberFormat="1" applyFont="1" applyFill="1" applyBorder="1" applyAlignment="1">
      <alignment horizontal="center" vertical="center"/>
    </xf>
    <xf numFmtId="173" fontId="9" fillId="2" borderId="1" xfId="0" applyNumberFormat="1" applyFont="1" applyFill="1" applyBorder="1" applyAlignment="1">
      <alignment vertical="center"/>
    </xf>
    <xf numFmtId="173" fontId="7" fillId="2" borderId="1" xfId="3" applyNumberFormat="1" applyFont="1" applyFill="1" applyBorder="1" applyAlignment="1">
      <alignment horizontal="center" vertical="center" wrapText="1"/>
    </xf>
    <xf numFmtId="0" fontId="0" fillId="2" borderId="0" xfId="0" applyFill="1" applyAlignment="1">
      <alignment vertical="center"/>
    </xf>
    <xf numFmtId="168" fontId="9" fillId="2" borderId="1" xfId="0" applyNumberFormat="1" applyFont="1" applyFill="1" applyBorder="1" applyAlignment="1">
      <alignment horizontal="center" wrapText="1"/>
    </xf>
    <xf numFmtId="169" fontId="7" fillId="2" borderId="0" xfId="1" applyNumberFormat="1" applyFont="1" applyFill="1" applyAlignment="1">
      <alignment vertical="center"/>
    </xf>
    <xf numFmtId="0" fontId="7" fillId="2" borderId="0" xfId="0" applyFont="1" applyFill="1" applyAlignment="1">
      <alignment wrapText="1"/>
    </xf>
    <xf numFmtId="0" fontId="9" fillId="2" borderId="1" xfId="0" applyFont="1" applyFill="1" applyBorder="1" applyAlignment="1">
      <alignment horizontal="center" vertical="center" wrapText="1"/>
    </xf>
    <xf numFmtId="9" fontId="7" fillId="2" borderId="0" xfId="4" applyFont="1" applyFill="1"/>
    <xf numFmtId="169" fontId="0" fillId="2" borderId="0" xfId="0" applyNumberFormat="1" applyFill="1"/>
    <xf numFmtId="9" fontId="0" fillId="2" borderId="0" xfId="4" applyFont="1" applyFill="1"/>
    <xf numFmtId="169" fontId="9" fillId="2" borderId="3" xfId="1" applyNumberFormat="1" applyFont="1" applyFill="1" applyBorder="1" applyAlignment="1">
      <alignment vertical="center" wrapText="1"/>
    </xf>
    <xf numFmtId="169" fontId="9" fillId="2" borderId="3" xfId="1" applyNumberFormat="1" applyFont="1" applyFill="1" applyBorder="1" applyAlignment="1">
      <alignment wrapText="1"/>
    </xf>
    <xf numFmtId="169" fontId="7" fillId="2" borderId="3" xfId="1" applyNumberFormat="1" applyFont="1" applyFill="1" applyBorder="1" applyAlignment="1">
      <alignment horizontal="left" vertical="center" wrapText="1"/>
    </xf>
    <xf numFmtId="169" fontId="7" fillId="2" borderId="0" xfId="0" applyNumberFormat="1" applyFont="1" applyFill="1" applyAlignment="1">
      <alignment wrapText="1"/>
    </xf>
    <xf numFmtId="171" fontId="0" fillId="2" borderId="0" xfId="0" applyNumberFormat="1" applyFill="1"/>
    <xf numFmtId="10" fontId="9" fillId="2" borderId="3" xfId="4" applyNumberFormat="1" applyFont="1" applyFill="1" applyBorder="1" applyAlignment="1">
      <alignment vertical="center"/>
    </xf>
    <xf numFmtId="10" fontId="9" fillId="2" borderId="3" xfId="4" applyNumberFormat="1" applyFont="1" applyFill="1" applyBorder="1"/>
    <xf numFmtId="10" fontId="9" fillId="2" borderId="1" xfId="4" applyNumberFormat="1" applyFont="1" applyFill="1" applyBorder="1" applyAlignment="1">
      <alignment vertical="center"/>
    </xf>
    <xf numFmtId="170" fontId="7" fillId="2" borderId="0" xfId="0" applyNumberFormat="1" applyFont="1" applyFill="1"/>
    <xf numFmtId="0" fontId="7" fillId="2" borderId="3" xfId="0" applyFont="1" applyFill="1" applyBorder="1" applyAlignment="1">
      <alignment horizontal="left" vertical="center" wrapText="1"/>
    </xf>
    <xf numFmtId="169" fontId="7" fillId="2" borderId="3" xfId="1" applyNumberFormat="1" applyFont="1" applyFill="1" applyBorder="1" applyAlignment="1">
      <alignment vertical="center"/>
    </xf>
    <xf numFmtId="10" fontId="7" fillId="2" borderId="3" xfId="4" applyNumberFormat="1" applyFont="1" applyFill="1" applyBorder="1" applyAlignment="1">
      <alignment vertical="center"/>
    </xf>
    <xf numFmtId="169" fontId="7" fillId="2" borderId="3" xfId="1" applyNumberFormat="1" applyFont="1" applyFill="1" applyBorder="1"/>
    <xf numFmtId="9" fontId="7" fillId="2" borderId="3" xfId="4" applyNumberFormat="1" applyFont="1" applyFill="1" applyBorder="1" applyAlignment="1">
      <alignment vertical="center"/>
    </xf>
    <xf numFmtId="9" fontId="7" fillId="2" borderId="3" xfId="4" applyFont="1" applyFill="1" applyBorder="1" applyAlignment="1">
      <alignment vertical="center"/>
    </xf>
    <xf numFmtId="9" fontId="7" fillId="2" borderId="3" xfId="4" applyFont="1" applyFill="1" applyBorder="1"/>
    <xf numFmtId="10" fontId="7" fillId="2" borderId="3" xfId="4" applyNumberFormat="1" applyFont="1" applyFill="1" applyBorder="1"/>
    <xf numFmtId="9" fontId="9" fillId="2" borderId="3" xfId="4" applyFont="1" applyFill="1" applyBorder="1" applyAlignment="1">
      <alignment vertical="center"/>
    </xf>
    <xf numFmtId="9" fontId="9" fillId="2" borderId="3" xfId="4" applyNumberFormat="1" applyFont="1" applyFill="1" applyBorder="1" applyAlignment="1">
      <alignment vertical="center"/>
    </xf>
    <xf numFmtId="9" fontId="9" fillId="2" borderId="3" xfId="4" applyFont="1" applyFill="1" applyBorder="1"/>
    <xf numFmtId="174" fontId="9" fillId="2" borderId="3" xfId="4" applyNumberFormat="1" applyFont="1" applyFill="1" applyBorder="1"/>
    <xf numFmtId="174" fontId="9" fillId="2" borderId="3" xfId="4" applyNumberFormat="1" applyFont="1" applyFill="1" applyBorder="1" applyAlignment="1">
      <alignment vertical="center"/>
    </xf>
    <xf numFmtId="170" fontId="9" fillId="3" borderId="1" xfId="3" applyNumberFormat="1" applyFont="1" applyFill="1" applyBorder="1" applyAlignment="1">
      <alignment horizontal="center" vertical="center" wrapText="1"/>
    </xf>
    <xf numFmtId="0" fontId="9" fillId="2" borderId="0" xfId="0" applyFont="1" applyFill="1" applyBorder="1" applyAlignment="1">
      <alignment horizontal="left"/>
    </xf>
    <xf numFmtId="0" fontId="9" fillId="2" borderId="5" xfId="0" applyFont="1" applyFill="1" applyBorder="1" applyAlignment="1"/>
    <xf numFmtId="0" fontId="9" fillId="2" borderId="6" xfId="0" applyFont="1" applyFill="1" applyBorder="1" applyAlignment="1"/>
    <xf numFmtId="0" fontId="9" fillId="2" borderId="2" xfId="0" applyFont="1" applyFill="1" applyBorder="1" applyAlignment="1"/>
    <xf numFmtId="9" fontId="7" fillId="2" borderId="1" xfId="4" applyFont="1" applyFill="1" applyBorder="1" applyAlignment="1">
      <alignment horizontal="center" vertical="center"/>
    </xf>
    <xf numFmtId="1" fontId="9" fillId="2" borderId="0" xfId="3" applyNumberFormat="1" applyFont="1" applyFill="1" applyBorder="1"/>
    <xf numFmtId="0" fontId="9" fillId="2" borderId="0" xfId="0" applyFont="1" applyFill="1" applyBorder="1" applyAlignment="1">
      <alignment wrapText="1"/>
    </xf>
    <xf numFmtId="1" fontId="9" fillId="2" borderId="0" xfId="3" applyNumberFormat="1" applyFont="1" applyFill="1" applyBorder="1" applyAlignment="1">
      <alignment horizontal="center"/>
    </xf>
    <xf numFmtId="1" fontId="7" fillId="2" borderId="0" xfId="3" applyNumberFormat="1" applyFont="1" applyFill="1" applyBorder="1" applyAlignment="1">
      <alignment horizontal="center"/>
    </xf>
    <xf numFmtId="170" fontId="9" fillId="2" borderId="0" xfId="3" applyNumberFormat="1" applyFont="1" applyFill="1" applyBorder="1" applyAlignment="1">
      <alignment horizontal="center" vertical="center" wrapText="1"/>
    </xf>
    <xf numFmtId="164" fontId="0" fillId="2" borderId="0" xfId="2" applyFont="1" applyFill="1"/>
    <xf numFmtId="0" fontId="9" fillId="2" borderId="1" xfId="0" applyFont="1" applyFill="1" applyBorder="1" applyAlignment="1">
      <alignment vertical="center" wrapText="1"/>
    </xf>
    <xf numFmtId="0" fontId="0" fillId="2" borderId="6" xfId="0" applyFill="1" applyBorder="1"/>
    <xf numFmtId="0" fontId="10" fillId="2" borderId="1" xfId="0" applyFont="1" applyFill="1" applyBorder="1" applyAlignment="1">
      <alignment horizontal="center" vertical="center" wrapText="1"/>
    </xf>
    <xf numFmtId="170" fontId="7" fillId="2" borderId="5" xfId="3" applyNumberFormat="1" applyFont="1" applyFill="1" applyBorder="1" applyAlignment="1">
      <alignment horizontal="center"/>
    </xf>
    <xf numFmtId="9" fontId="0" fillId="2" borderId="1" xfId="4" applyFont="1" applyFill="1" applyBorder="1"/>
    <xf numFmtId="175" fontId="0" fillId="2" borderId="0" xfId="1" applyNumberFormat="1" applyFont="1" applyFill="1"/>
    <xf numFmtId="0" fontId="17" fillId="2" borderId="0" xfId="0" applyFont="1" applyFill="1"/>
    <xf numFmtId="168" fontId="9" fillId="3" borderId="1" xfId="0" applyNumberFormat="1" applyFont="1" applyFill="1" applyBorder="1" applyAlignment="1">
      <alignment vertical="center"/>
    </xf>
    <xf numFmtId="168" fontId="9" fillId="3" borderId="1" xfId="0" applyNumberFormat="1" applyFont="1" applyFill="1" applyBorder="1" applyAlignment="1">
      <alignment vertical="center" wrapText="1"/>
    </xf>
    <xf numFmtId="170" fontId="9" fillId="3" borderId="1" xfId="0" applyNumberFormat="1" applyFont="1" applyFill="1" applyBorder="1" applyAlignment="1">
      <alignment vertical="center"/>
    </xf>
    <xf numFmtId="170" fontId="7" fillId="2" borderId="1" xfId="3" applyNumberFormat="1" applyFont="1" applyFill="1" applyBorder="1" applyAlignment="1">
      <alignment horizontal="right" vertical="center"/>
    </xf>
    <xf numFmtId="170" fontId="7" fillId="2" borderId="1" xfId="3" applyNumberFormat="1" applyFont="1" applyFill="1" applyBorder="1" applyAlignment="1">
      <alignment horizontal="right"/>
    </xf>
    <xf numFmtId="173" fontId="7" fillId="2" borderId="1" xfId="3" applyNumberFormat="1" applyFont="1" applyFill="1" applyBorder="1" applyAlignment="1">
      <alignment horizontal="right" vertical="center"/>
    </xf>
    <xf numFmtId="0" fontId="18" fillId="2" borderId="0" xfId="0" applyFont="1" applyFill="1"/>
    <xf numFmtId="0" fontId="18" fillId="2" borderId="1" xfId="0" applyFont="1" applyFill="1" applyBorder="1"/>
    <xf numFmtId="176" fontId="7" fillId="2" borderId="1" xfId="5" applyNumberFormat="1" applyFont="1" applyFill="1" applyBorder="1" applyAlignment="1">
      <alignment vertical="center" wrapText="1"/>
    </xf>
    <xf numFmtId="0" fontId="18" fillId="2" borderId="0" xfId="0" applyFont="1" applyFill="1" applyBorder="1"/>
    <xf numFmtId="170" fontId="7" fillId="2" borderId="1" xfId="3" applyNumberFormat="1" applyFont="1" applyFill="1" applyBorder="1" applyAlignment="1">
      <alignment horizontal="right" vertical="center" wrapText="1"/>
    </xf>
    <xf numFmtId="168" fontId="9" fillId="2" borderId="1" xfId="0" applyNumberFormat="1" applyFont="1" applyFill="1" applyBorder="1" applyAlignment="1">
      <alignment horizontal="right"/>
    </xf>
    <xf numFmtId="9" fontId="7" fillId="2" borderId="1" xfId="0" applyNumberFormat="1" applyFont="1" applyFill="1" applyBorder="1" applyAlignment="1">
      <alignment horizontal="center"/>
    </xf>
    <xf numFmtId="0" fontId="7" fillId="2" borderId="0" xfId="0" applyFont="1" applyFill="1" applyBorder="1" applyAlignment="1">
      <alignment horizontal="left"/>
    </xf>
    <xf numFmtId="0" fontId="7" fillId="2" borderId="0" xfId="0" applyFont="1" applyFill="1" applyBorder="1" applyAlignment="1">
      <alignment horizontal="left" vertical="center"/>
    </xf>
    <xf numFmtId="0" fontId="5" fillId="2" borderId="1" xfId="0" applyFont="1" applyFill="1" applyBorder="1" applyAlignment="1">
      <alignment horizontal="center" wrapText="1"/>
    </xf>
    <xf numFmtId="169" fontId="7" fillId="3" borderId="0" xfId="0" applyNumberFormat="1" applyFont="1" applyFill="1"/>
    <xf numFmtId="169" fontId="9" fillId="3" borderId="0" xfId="0" applyNumberFormat="1" applyFont="1" applyFill="1" applyAlignment="1">
      <alignment vertical="center"/>
    </xf>
    <xf numFmtId="169" fontId="9" fillId="2" borderId="0" xfId="0" applyNumberFormat="1" applyFont="1" applyFill="1" applyAlignment="1">
      <alignment vertical="center"/>
    </xf>
    <xf numFmtId="169" fontId="9" fillId="2" borderId="0" xfId="0" applyNumberFormat="1" applyFont="1" applyFill="1"/>
    <xf numFmtId="1" fontId="7" fillId="2" borderId="0" xfId="3" applyNumberFormat="1" applyFont="1" applyFill="1" applyBorder="1"/>
    <xf numFmtId="169" fontId="7" fillId="3" borderId="0" xfId="0" applyNumberFormat="1" applyFont="1" applyFill="1" applyAlignment="1">
      <alignment vertical="center"/>
    </xf>
    <xf numFmtId="169" fontId="7" fillId="2" borderId="0" xfId="1" applyNumberFormat="1" applyFont="1" applyFill="1" applyBorder="1" applyAlignment="1">
      <alignment horizontal="center"/>
    </xf>
    <xf numFmtId="9" fontId="7" fillId="2" borderId="0" xfId="4" applyFont="1" applyFill="1" applyBorder="1" applyAlignment="1">
      <alignment horizontal="center"/>
    </xf>
    <xf numFmtId="169" fontId="7" fillId="2" borderId="0" xfId="1" applyNumberFormat="1" applyFont="1" applyFill="1" applyBorder="1" applyAlignment="1">
      <alignment horizontal="center" wrapText="1"/>
    </xf>
    <xf numFmtId="169" fontId="9" fillId="2" borderId="1" xfId="0" applyNumberFormat="1" applyFont="1" applyFill="1" applyBorder="1" applyAlignment="1">
      <alignment horizontal="center"/>
    </xf>
    <xf numFmtId="9" fontId="7" fillId="2" borderId="6" xfId="4" applyFont="1" applyFill="1" applyBorder="1" applyAlignment="1">
      <alignment horizontal="center"/>
    </xf>
    <xf numFmtId="0" fontId="9" fillId="2" borderId="5" xfId="0" applyFont="1" applyFill="1" applyBorder="1" applyAlignment="1">
      <alignment vertical="center" wrapText="1"/>
    </xf>
    <xf numFmtId="0" fontId="9" fillId="2" borderId="0" xfId="0" applyFont="1" applyFill="1" applyBorder="1" applyAlignment="1"/>
    <xf numFmtId="0" fontId="7" fillId="2" borderId="1" xfId="0" applyFont="1" applyFill="1" applyBorder="1" applyAlignment="1">
      <alignment horizontal="left"/>
    </xf>
    <xf numFmtId="0" fontId="7" fillId="2" borderId="1" xfId="0" applyFont="1" applyFill="1" applyBorder="1" applyAlignment="1">
      <alignment horizontal="center"/>
    </xf>
    <xf numFmtId="169" fontId="7" fillId="2" borderId="1" xfId="0" applyNumberFormat="1" applyFont="1" applyFill="1" applyBorder="1" applyAlignment="1">
      <alignment horizontal="center"/>
    </xf>
    <xf numFmtId="170" fontId="9" fillId="3" borderId="1" xfId="3" applyNumberFormat="1" applyFont="1" applyFill="1" applyBorder="1" applyAlignment="1">
      <alignment horizontal="right" vertical="center" wrapText="1"/>
    </xf>
    <xf numFmtId="169" fontId="9" fillId="2" borderId="0" xfId="1" applyNumberFormat="1" applyFont="1" applyFill="1" applyBorder="1" applyAlignment="1">
      <alignment horizontal="center"/>
    </xf>
    <xf numFmtId="0" fontId="7" fillId="2" borderId="5" xfId="0" applyFont="1" applyFill="1" applyBorder="1" applyAlignment="1">
      <alignment horizontal="left"/>
    </xf>
    <xf numFmtId="169" fontId="9" fillId="2" borderId="1" xfId="1" applyNumberFormat="1" applyFont="1" applyFill="1" applyBorder="1" applyAlignment="1">
      <alignment horizontal="center" wrapText="1"/>
    </xf>
    <xf numFmtId="169" fontId="9" fillId="3" borderId="1" xfId="1" applyNumberFormat="1" applyFont="1" applyFill="1" applyBorder="1" applyAlignment="1">
      <alignment horizontal="center" vertical="center" wrapText="1"/>
    </xf>
    <xf numFmtId="0" fontId="7" fillId="2" borderId="1" xfId="0" applyFont="1" applyFill="1" applyBorder="1" applyAlignment="1">
      <alignment horizontal="right"/>
    </xf>
    <xf numFmtId="169" fontId="7" fillId="2" borderId="1" xfId="1" applyNumberFormat="1" applyFont="1" applyFill="1" applyBorder="1" applyAlignment="1">
      <alignment horizontal="right"/>
    </xf>
    <xf numFmtId="169" fontId="6" fillId="2" borderId="0" xfId="1" applyNumberFormat="1" applyFont="1" applyFill="1"/>
    <xf numFmtId="0" fontId="6" fillId="2" borderId="0" xfId="0" applyFont="1" applyFill="1" applyAlignment="1">
      <alignment wrapText="1"/>
    </xf>
    <xf numFmtId="9" fontId="9" fillId="2" borderId="1" xfId="4" applyFont="1" applyFill="1" applyBorder="1" applyAlignment="1">
      <alignment horizontal="center"/>
    </xf>
    <xf numFmtId="171" fontId="7" fillId="2" borderId="5" xfId="3" applyNumberFormat="1" applyFont="1" applyFill="1" applyBorder="1" applyAlignment="1">
      <alignment horizontal="center"/>
    </xf>
    <xf numFmtId="169" fontId="9" fillId="3" borderId="1" xfId="0" applyNumberFormat="1" applyFont="1" applyFill="1" applyBorder="1" applyAlignment="1">
      <alignment vertical="center" wrapText="1"/>
    </xf>
    <xf numFmtId="166" fontId="0" fillId="2" borderId="0" xfId="1" applyFont="1" applyFill="1"/>
    <xf numFmtId="166" fontId="0" fillId="2" borderId="0" xfId="0" applyNumberFormat="1" applyFill="1"/>
    <xf numFmtId="173" fontId="7" fillId="2" borderId="5" xfId="3" applyNumberFormat="1" applyFont="1" applyFill="1" applyBorder="1" applyAlignment="1">
      <alignment horizontal="center"/>
    </xf>
    <xf numFmtId="167" fontId="7" fillId="2" borderId="5" xfId="3" applyFont="1" applyFill="1" applyBorder="1" applyAlignment="1">
      <alignment horizontal="center"/>
    </xf>
    <xf numFmtId="173" fontId="9" fillId="3" borderId="1" xfId="0" applyNumberFormat="1" applyFont="1" applyFill="1" applyBorder="1" applyAlignment="1">
      <alignment vertical="center"/>
    </xf>
    <xf numFmtId="10" fontId="0" fillId="2" borderId="0" xfId="4" applyNumberFormat="1" applyFont="1" applyFill="1"/>
    <xf numFmtId="169" fontId="19" fillId="2" borderId="0" xfId="1" applyNumberFormat="1" applyFont="1" applyFill="1"/>
    <xf numFmtId="0" fontId="19" fillId="2" borderId="0" xfId="0" applyFont="1" applyFill="1"/>
    <xf numFmtId="10" fontId="7" fillId="2" borderId="0" xfId="4" applyNumberFormat="1" applyFont="1" applyFill="1"/>
    <xf numFmtId="174" fontId="0" fillId="2" borderId="0" xfId="4" applyNumberFormat="1" applyFont="1" applyFill="1"/>
    <xf numFmtId="10" fontId="12" fillId="2" borderId="0" xfId="4" applyNumberFormat="1" applyFont="1" applyFill="1"/>
    <xf numFmtId="177" fontId="0" fillId="2" borderId="0" xfId="4" applyNumberFormat="1" applyFont="1" applyFill="1"/>
    <xf numFmtId="9" fontId="0" fillId="2" borderId="0" xfId="0" applyNumberFormat="1" applyFill="1"/>
    <xf numFmtId="0" fontId="5"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Alignment="1">
      <alignment horizontal="left" wrapText="1"/>
    </xf>
    <xf numFmtId="0" fontId="7" fillId="2" borderId="1" xfId="0" applyFont="1" applyFill="1" applyBorder="1" applyAlignment="1">
      <alignment horizontal="left" vertical="center" wrapText="1"/>
    </xf>
    <xf numFmtId="0" fontId="7" fillId="2" borderId="0" xfId="0" applyFont="1" applyFill="1" applyAlignment="1">
      <alignment horizontal="left"/>
    </xf>
    <xf numFmtId="0" fontId="9" fillId="2" borderId="7" xfId="0" applyFont="1" applyFill="1" applyBorder="1" applyAlignment="1">
      <alignment horizontal="center" vertical="center" wrapText="1"/>
    </xf>
    <xf numFmtId="0" fontId="7" fillId="2" borderId="0" xfId="0" applyFont="1" applyFill="1" applyAlignment="1">
      <alignment horizontal="right"/>
    </xf>
    <xf numFmtId="10" fontId="9" fillId="2" borderId="3" xfId="4" applyNumberFormat="1" applyFont="1" applyFill="1" applyBorder="1" applyAlignment="1">
      <alignment horizontal="right" vertical="center" wrapText="1"/>
    </xf>
    <xf numFmtId="10" fontId="9" fillId="2" borderId="3" xfId="4" applyNumberFormat="1" applyFont="1" applyFill="1" applyBorder="1" applyAlignment="1">
      <alignment horizontal="right" vertical="center"/>
    </xf>
    <xf numFmtId="10" fontId="7" fillId="2" borderId="3" xfId="4" applyNumberFormat="1" applyFont="1" applyFill="1" applyBorder="1" applyAlignment="1">
      <alignment horizontal="right" vertical="center" wrapText="1"/>
    </xf>
    <xf numFmtId="10" fontId="7" fillId="2" borderId="3" xfId="4" applyNumberFormat="1" applyFont="1" applyFill="1" applyBorder="1" applyAlignment="1">
      <alignment horizontal="right" wrapText="1"/>
    </xf>
    <xf numFmtId="10" fontId="9" fillId="2" borderId="3" xfId="4" applyNumberFormat="1" applyFont="1" applyFill="1" applyBorder="1" applyAlignment="1">
      <alignment horizontal="right" wrapText="1"/>
    </xf>
    <xf numFmtId="9" fontId="9" fillId="2" borderId="1" xfId="4" applyFont="1" applyFill="1" applyBorder="1" applyAlignment="1">
      <alignment horizontal="right" vertical="center" wrapText="1"/>
    </xf>
    <xf numFmtId="169" fontId="7" fillId="2" borderId="0" xfId="0" applyNumberFormat="1" applyFont="1" applyFill="1" applyAlignment="1">
      <alignment horizontal="right"/>
    </xf>
    <xf numFmtId="0" fontId="9" fillId="2" borderId="7" xfId="0" applyFont="1" applyFill="1" applyBorder="1" applyAlignment="1">
      <alignment horizontal="center" vertical="center"/>
    </xf>
    <xf numFmtId="0" fontId="9" fillId="2" borderId="5" xfId="0" applyFont="1" applyFill="1" applyBorder="1" applyAlignment="1">
      <alignment horizontal="right"/>
    </xf>
    <xf numFmtId="0" fontId="9" fillId="2" borderId="6" xfId="0" applyFont="1" applyFill="1" applyBorder="1" applyAlignment="1">
      <alignment horizontal="right"/>
    </xf>
    <xf numFmtId="0" fontId="9" fillId="2" borderId="2" xfId="0" applyFont="1" applyFill="1" applyBorder="1" applyAlignment="1">
      <alignment horizontal="right"/>
    </xf>
    <xf numFmtId="0" fontId="7" fillId="2" borderId="10" xfId="0" applyFont="1" applyFill="1" applyBorder="1" applyAlignment="1">
      <alignment horizontal="center"/>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5" xfId="0" applyFont="1" applyFill="1" applyBorder="1" applyAlignment="1">
      <alignment horizontal="center"/>
    </xf>
    <xf numFmtId="0" fontId="13" fillId="2" borderId="2" xfId="0" applyFont="1" applyFill="1" applyBorder="1" applyAlignment="1">
      <alignment horizontal="center"/>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wrapText="1"/>
    </xf>
    <xf numFmtId="0" fontId="5" fillId="2" borderId="2" xfId="0" applyFont="1" applyFill="1" applyBorder="1" applyAlignment="1">
      <alignment horizontal="center" wrapText="1"/>
    </xf>
    <xf numFmtId="0" fontId="5"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8" xfId="0" applyFont="1" applyFill="1" applyBorder="1" applyAlignment="1">
      <alignment horizontal="left" wrapText="1"/>
    </xf>
    <xf numFmtId="0" fontId="7" fillId="2" borderId="8" xfId="0" applyFont="1" applyFill="1" applyBorder="1" applyAlignment="1">
      <alignment wrapText="1"/>
    </xf>
    <xf numFmtId="0" fontId="0" fillId="0" borderId="8" xfId="0" applyBorder="1" applyAlignment="1">
      <alignment wrapText="1"/>
    </xf>
    <xf numFmtId="0" fontId="0" fillId="0" borderId="0" xfId="0" applyAlignment="1">
      <alignment wrapText="1"/>
    </xf>
    <xf numFmtId="0" fontId="7" fillId="2" borderId="0" xfId="0" applyFont="1" applyFill="1" applyAlignment="1">
      <alignment horizontal="left" wrapText="1"/>
    </xf>
    <xf numFmtId="0" fontId="0" fillId="0" borderId="8" xfId="0" applyBorder="1" applyAlignment="1">
      <alignment horizontal="left" wrapText="1"/>
    </xf>
    <xf numFmtId="0" fontId="7" fillId="2" borderId="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2" fillId="2" borderId="9" xfId="0" applyFont="1" applyFill="1" applyBorder="1" applyAlignment="1">
      <alignment wrapText="1"/>
    </xf>
    <xf numFmtId="0" fontId="0" fillId="2" borderId="0" xfId="0" applyFill="1" applyAlignment="1">
      <alignment wrapText="1"/>
    </xf>
    <xf numFmtId="0" fontId="0" fillId="2" borderId="0" xfId="0" applyFill="1" applyAlignment="1">
      <alignment horizontal="center" wrapText="1"/>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2" xfId="0" applyFont="1" applyFill="1" applyBorder="1" applyAlignment="1">
      <alignment horizontal="left"/>
    </xf>
    <xf numFmtId="0" fontId="7" fillId="2" borderId="0" xfId="0" applyFont="1" applyFill="1" applyAlignment="1">
      <alignment horizontal="left" vertical="center" wrapText="1"/>
    </xf>
  </cellXfs>
  <cellStyles count="6">
    <cellStyle name="Millares" xfId="1" builtinId="3"/>
    <cellStyle name="Millares [0]" xfId="2" builtinId="6"/>
    <cellStyle name="Moneda" xfId="5" builtinId="4"/>
    <cellStyle name="Moneda [0]" xfId="3" builtinId="7"/>
    <cellStyle name="Normal" xfId="0" builtinId="0"/>
    <cellStyle name="Porcentaje" xfId="4" builtinId="5"/>
  </cellStyles>
  <dxfs count="0"/>
  <tableStyles count="0" defaultTableStyle="TableStyleMedium2" defaultPivotStyle="PivotStyleLight16"/>
  <colors>
    <mruColors>
      <color rgb="FFFFA161"/>
      <color rgb="FFFF8A3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tint val="65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461D-43BD-AB91-7D636FE4BAFD}"/>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461D-43BD-AB91-7D636FE4BAFD}"/>
              </c:ext>
            </c:extLst>
          </c:dPt>
          <c:dPt>
            <c:idx val="2"/>
            <c:bubble3D val="0"/>
            <c:spPr>
              <a:solidFill>
                <a:schemeClr val="accent2">
                  <a:shade val="65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461D-43BD-AB91-7D636FE4BAFD}"/>
              </c:ext>
            </c:extLst>
          </c:dPt>
          <c:dLbls>
            <c:dLbl>
              <c:idx val="1"/>
              <c:layout>
                <c:manualLayout>
                  <c:x val="0.13515791776027991"/>
                  <c:y val="0.101262029746281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1D-43BD-AB91-7D636FE4BAFD}"/>
                </c:ext>
              </c:extLst>
            </c:dLbl>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('FF síntesis MillCOP'!$D$5,'FF síntesis MillCOP'!$F$5,'FF síntesis MillCOP'!$H$5)</c:f>
              <c:strCache>
                <c:ptCount val="3"/>
                <c:pt idx="0">
                  <c:v>Recursos Públicos</c:v>
                </c:pt>
                <c:pt idx="1">
                  <c:v>Recursos privados</c:v>
                </c:pt>
                <c:pt idx="2">
                  <c:v>Recursos CI </c:v>
                </c:pt>
              </c:strCache>
            </c:strRef>
          </c:cat>
          <c:val>
            <c:numRef>
              <c:f>('FF síntesis MillCOP'!$E$40,'FF síntesis MillCOP'!$G$40,'FF síntesis MillCOP'!$I$40)</c:f>
              <c:numCache>
                <c:formatCode>0.00%</c:formatCode>
                <c:ptCount val="3"/>
                <c:pt idx="0">
                  <c:v>0.69290916345001252</c:v>
                </c:pt>
                <c:pt idx="1">
                  <c:v>0.2355092615597732</c:v>
                </c:pt>
                <c:pt idx="2">
                  <c:v>7.1581574990214086E-2</c:v>
                </c:pt>
              </c:numCache>
            </c:numRef>
          </c:val>
          <c:extLst>
            <c:ext xmlns:c16="http://schemas.microsoft.com/office/drawing/2014/chart" uri="{C3380CC4-5D6E-409C-BE32-E72D297353CC}">
              <c16:uniqueId val="{00000006-461D-43BD-AB91-7D636FE4BAFD}"/>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2714625</xdr:colOff>
      <xdr:row>33</xdr:row>
      <xdr:rowOff>28574</xdr:rowOff>
    </xdr:from>
    <xdr:to>
      <xdr:col>1</xdr:col>
      <xdr:colOff>3067050</xdr:colOff>
      <xdr:row>33</xdr:row>
      <xdr:rowOff>264159</xdr:rowOff>
    </xdr:to>
    <xdr:sp macro="" textlink="">
      <xdr:nvSpPr>
        <xdr:cNvPr id="2" name="Rectángulo 1">
          <a:extLst>
            <a:ext uri="{FF2B5EF4-FFF2-40B4-BE49-F238E27FC236}">
              <a16:creationId xmlns:a16="http://schemas.microsoft.com/office/drawing/2014/main" id="{FF6353CC-0426-4F24-B411-AE6C54145E33}"/>
            </a:ext>
          </a:extLst>
        </xdr:cNvPr>
        <xdr:cNvSpPr/>
      </xdr:nvSpPr>
      <xdr:spPr>
        <a:xfrm>
          <a:off x="3124200" y="21031199"/>
          <a:ext cx="352425" cy="23558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299357</xdr:colOff>
      <xdr:row>34</xdr:row>
      <xdr:rowOff>138545</xdr:rowOff>
    </xdr:from>
    <xdr:to>
      <xdr:col>5</xdr:col>
      <xdr:colOff>110434</xdr:colOff>
      <xdr:row>60</xdr:row>
      <xdr:rowOff>70584</xdr:rowOff>
    </xdr:to>
    <xdr:pic>
      <xdr:nvPicPr>
        <xdr:cNvPr id="2" name="Imagen 1">
          <a:extLst>
            <a:ext uri="{FF2B5EF4-FFF2-40B4-BE49-F238E27FC236}">
              <a16:creationId xmlns:a16="http://schemas.microsoft.com/office/drawing/2014/main" id="{49CA7784-26F2-4606-A1EA-BA9B86AEA629}"/>
            </a:ext>
          </a:extLst>
        </xdr:cNvPr>
        <xdr:cNvPicPr>
          <a:picLocks noChangeAspect="1"/>
        </xdr:cNvPicPr>
      </xdr:nvPicPr>
      <xdr:blipFill rotWithShape="1">
        <a:blip xmlns:r="http://schemas.openxmlformats.org/officeDocument/2006/relationships" r:embed="rId1"/>
        <a:srcRect l="19724" t="10785" r="20033" b="15695"/>
        <a:stretch/>
      </xdr:blipFill>
      <xdr:spPr>
        <a:xfrm>
          <a:off x="299357" y="6944590"/>
          <a:ext cx="5690600" cy="4019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4029075</xdr:colOff>
      <xdr:row>42</xdr:row>
      <xdr:rowOff>61912</xdr:rowOff>
    </xdr:from>
    <xdr:to>
      <xdr:col>7</xdr:col>
      <xdr:colOff>638175</xdr:colOff>
      <xdr:row>60</xdr:row>
      <xdr:rowOff>61912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yetha.fonseca/Downloads/20191202_DTR_Ppto_Avance%20J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Tabla síntesis"/>
      <sheetName val="Presupuesto detallado"/>
      <sheetName val="P1.1"/>
      <sheetName val="P1.2"/>
      <sheetName val="P1.3"/>
      <sheetName val="P1.4"/>
      <sheetName val="P1.5"/>
      <sheetName val="P2.1"/>
      <sheetName val="P2.2"/>
      <sheetName val="P2.3"/>
      <sheetName val="P3.1"/>
      <sheetName val="P3.2"/>
      <sheetName val="P3.3"/>
      <sheetName val="P4.1"/>
      <sheetName val="P4.2"/>
      <sheetName val="P5.1"/>
      <sheetName val="P5.2"/>
      <sheetName val="P6.1"/>
      <sheetName val="P6.2"/>
      <sheetName val="P7.1"/>
      <sheetName val="P7.2"/>
      <sheetName val="P8.1"/>
      <sheetName val="P8.2"/>
      <sheetName val="P9.1"/>
      <sheetName val="P9.2"/>
      <sheetName val="P9.3"/>
      <sheetName val="P9.4"/>
    </sheetNames>
    <sheetDataSet>
      <sheetData sheetId="0" refreshError="1">
        <row r="11">
          <cell r="D11">
            <v>11508889</v>
          </cell>
        </row>
        <row r="32">
          <cell r="C32">
            <v>3000000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B2:X90"/>
  <sheetViews>
    <sheetView topLeftCell="A10" zoomScale="99" zoomScaleNormal="85" workbookViewId="0">
      <selection activeCell="B29" sqref="B29:F29"/>
    </sheetView>
  </sheetViews>
  <sheetFormatPr baseColWidth="10" defaultRowHeight="15" x14ac:dyDescent="0.25"/>
  <cols>
    <col min="1" max="1" width="3.5703125" style="1" customWidth="1"/>
    <col min="2" max="2" width="45.7109375" style="1" customWidth="1"/>
    <col min="3" max="3" width="17.140625" style="1" customWidth="1"/>
    <col min="4" max="4" width="14" style="1" customWidth="1"/>
    <col min="5" max="5" width="13.140625" style="1" bestFit="1" customWidth="1"/>
    <col min="6" max="6" width="12.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detallado'!B6</f>
        <v>1.1. Mejora de la productividad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2" customHeight="1" x14ac:dyDescent="0.25">
      <c r="B8" s="18" t="str">
        <f>+'Presupuesto detallado'!B7</f>
        <v xml:space="preserve"> 1.1.1. Generación de un marco de referencia de una estructura de costos competitiva, de manera articulada, diferenciada por regiones arroceras</v>
      </c>
      <c r="C8" s="19" t="s">
        <v>190</v>
      </c>
      <c r="D8" s="20"/>
      <c r="E8" s="53">
        <f>+G24</f>
        <v>69405174.699999988</v>
      </c>
      <c r="F8" s="53">
        <f>+G24</f>
        <v>69405174.699999988</v>
      </c>
      <c r="G8" s="53">
        <f>+G24</f>
        <v>69405174.699999988</v>
      </c>
      <c r="H8" s="53">
        <f>+G29</f>
        <v>30461802</v>
      </c>
      <c r="I8" s="53">
        <f>+G29</f>
        <v>30461802</v>
      </c>
      <c r="J8" s="20"/>
      <c r="K8" s="53"/>
      <c r="L8" s="20"/>
      <c r="M8" s="53">
        <f>+G32</f>
        <v>90000902</v>
      </c>
      <c r="N8" s="20"/>
      <c r="O8" s="53"/>
      <c r="P8" s="52"/>
      <c r="Q8" s="53">
        <f>+G32</f>
        <v>90000902</v>
      </c>
      <c r="R8" s="20"/>
      <c r="S8" s="53"/>
      <c r="T8" s="20"/>
      <c r="U8" s="53">
        <f>+G32</f>
        <v>90000902</v>
      </c>
      <c r="V8" s="20"/>
    </row>
    <row r="9" spans="2:24" ht="53.25" customHeight="1" x14ac:dyDescent="0.25">
      <c r="B9" s="18" t="str">
        <f>+'Presupuesto detallado'!B9</f>
        <v>1.1.3. Desarrollo de una estrategia que promueva acciones orientadas a la disminución de los costos de producción, priorizando los rubros tierra, insumos (precios y cantidades usadas), agua, entre otros</v>
      </c>
      <c r="C9" s="19" t="s">
        <v>119</v>
      </c>
      <c r="D9" s="20"/>
      <c r="E9" s="53">
        <f>+G46</f>
        <v>66872245.049999997</v>
      </c>
      <c r="F9" s="53">
        <f>+G46</f>
        <v>66872245.049999997</v>
      </c>
      <c r="G9" s="53">
        <f>+G46</f>
        <v>66872245.049999997</v>
      </c>
      <c r="H9" s="53" t="str">
        <f>+G45</f>
        <v>Presupuesto relativo</v>
      </c>
      <c r="I9" s="53" t="str">
        <f>+$G$45</f>
        <v>Presupuesto relativo</v>
      </c>
      <c r="J9" s="53" t="str">
        <f t="shared" ref="J9:V9" si="0">+$G$45</f>
        <v>Presupuesto relativo</v>
      </c>
      <c r="K9" s="53" t="str">
        <f t="shared" si="0"/>
        <v>Presupuesto relativo</v>
      </c>
      <c r="L9" s="53" t="str">
        <f t="shared" si="0"/>
        <v>Presupuesto relativo</v>
      </c>
      <c r="M9" s="53" t="str">
        <f t="shared" si="0"/>
        <v>Presupuesto relativo</v>
      </c>
      <c r="N9" s="53" t="str">
        <f t="shared" si="0"/>
        <v>Presupuesto relativo</v>
      </c>
      <c r="O9" s="53" t="str">
        <f t="shared" si="0"/>
        <v>Presupuesto relativo</v>
      </c>
      <c r="P9" s="53" t="str">
        <f t="shared" si="0"/>
        <v>Presupuesto relativo</v>
      </c>
      <c r="Q9" s="53" t="str">
        <f t="shared" si="0"/>
        <v>Presupuesto relativo</v>
      </c>
      <c r="R9" s="53" t="str">
        <f t="shared" si="0"/>
        <v>Presupuesto relativo</v>
      </c>
      <c r="S9" s="53" t="str">
        <f t="shared" si="0"/>
        <v>Presupuesto relativo</v>
      </c>
      <c r="T9" s="53" t="str">
        <f t="shared" si="0"/>
        <v>Presupuesto relativo</v>
      </c>
      <c r="U9" s="53" t="str">
        <f t="shared" si="0"/>
        <v>Presupuesto relativo</v>
      </c>
      <c r="V9" s="53" t="str">
        <f t="shared" si="0"/>
        <v>Presupuesto relativo</v>
      </c>
    </row>
    <row r="10" spans="2:24" ht="39.75" customHeight="1" x14ac:dyDescent="0.25">
      <c r="B10" s="18" t="str">
        <f>+'Presupuesto detallado'!B10</f>
        <v>1.1.4. Desarrollo de una estrategia para el aumento de los rendimientos promedios nacionales, diferenciada por regiones y sistemas de producción</v>
      </c>
      <c r="C10" s="19" t="s">
        <v>119</v>
      </c>
      <c r="D10" s="20"/>
      <c r="E10" s="53">
        <f>+G60</f>
        <v>54830016.5</v>
      </c>
      <c r="F10" s="53">
        <f>+G60</f>
        <v>54830016.5</v>
      </c>
      <c r="G10" s="53">
        <f>+G60</f>
        <v>54830016.5</v>
      </c>
      <c r="H10" s="53" t="str">
        <f>+$G$59</f>
        <v>Presupuesto relativo</v>
      </c>
      <c r="I10" s="53" t="str">
        <f t="shared" ref="I10:V10" si="1">+$G$59</f>
        <v>Presupuesto relativo</v>
      </c>
      <c r="J10" s="53" t="str">
        <f t="shared" si="1"/>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row>
    <row r="11" spans="2:24" ht="39.75" customHeight="1" x14ac:dyDescent="0.25">
      <c r="B11" s="18" t="str">
        <f>+'Presupuesto detallado'!B8</f>
        <v>1.1.2. Planificación de las áreas de siembra de arroz requeridas para garantizar la rentabilidad del sistema productivo (área mínima rentable)</v>
      </c>
      <c r="C11" s="19" t="s">
        <v>96</v>
      </c>
      <c r="D11" s="20"/>
      <c r="E11" s="53">
        <f>+G73</f>
        <v>53554189.700000003</v>
      </c>
      <c r="F11" s="53">
        <f>+G73</f>
        <v>53554189.700000003</v>
      </c>
      <c r="G11" s="53">
        <f>+G73</f>
        <v>53554189.700000003</v>
      </c>
      <c r="H11" s="53"/>
      <c r="I11" s="53"/>
      <c r="J11" s="53"/>
      <c r="K11" s="53"/>
      <c r="L11" s="53">
        <f>+G74</f>
        <v>64842767</v>
      </c>
      <c r="M11" s="53"/>
      <c r="N11" s="53"/>
      <c r="O11" s="53"/>
      <c r="P11" s="53"/>
      <c r="Q11" s="53">
        <f>+G74</f>
        <v>64842767</v>
      </c>
      <c r="R11" s="53"/>
      <c r="S11" s="53"/>
      <c r="T11" s="53"/>
      <c r="U11" s="53"/>
      <c r="V11" s="53">
        <f>+G74</f>
        <v>64842767</v>
      </c>
    </row>
    <row r="12" spans="2:24" ht="51.75" customHeight="1" x14ac:dyDescent="0.25">
      <c r="B12" s="18" t="str">
        <f>+'Presupuesto detallado'!B11</f>
        <v>1.1.5. Identificación e implementación de alternativas de reconversión productiva, según las necesidades de los sistemas productivos del arroz y acorde con las particularidades de cada una de las regiones arroceras</v>
      </c>
      <c r="C12" s="19" t="s">
        <v>226</v>
      </c>
      <c r="D12" s="20"/>
      <c r="E12" s="53">
        <f>+G90</f>
        <v>49695561.700000003</v>
      </c>
      <c r="F12" s="53">
        <f>+G90</f>
        <v>49695561.700000003</v>
      </c>
      <c r="G12" s="53">
        <f>+G90</f>
        <v>49695561.700000003</v>
      </c>
      <c r="H12" s="53" t="str">
        <f>+G89</f>
        <v>Presupuesto relativo</v>
      </c>
      <c r="I12" s="53" t="str">
        <f>+G89</f>
        <v>Presupuesto relativo</v>
      </c>
      <c r="J12" s="53" t="str">
        <f>+G89</f>
        <v>Presupuesto relativo</v>
      </c>
      <c r="K12" s="53" t="str">
        <f>+G89</f>
        <v>Presupuesto relativo</v>
      </c>
      <c r="L12" s="53" t="str">
        <f>+G89</f>
        <v>Presupuesto relativo</v>
      </c>
      <c r="M12" s="53" t="str">
        <f>+G89</f>
        <v>Presupuesto relativo</v>
      </c>
      <c r="N12" s="53" t="str">
        <f>+G89</f>
        <v>Presupuesto relativo</v>
      </c>
      <c r="O12" s="53" t="str">
        <f>+G89</f>
        <v>Presupuesto relativo</v>
      </c>
      <c r="P12" s="53" t="str">
        <f>+G89</f>
        <v>Presupuesto relativo</v>
      </c>
      <c r="Q12" s="53" t="str">
        <f>+G89</f>
        <v>Presupuesto relativo</v>
      </c>
      <c r="R12" s="53" t="str">
        <f>+G89</f>
        <v>Presupuesto relativo</v>
      </c>
      <c r="S12" s="53" t="str">
        <f>+G89</f>
        <v>Presupuesto relativo</v>
      </c>
      <c r="T12" s="53"/>
      <c r="U12" s="53"/>
      <c r="V12" s="53"/>
    </row>
    <row r="13" spans="2:24" x14ac:dyDescent="0.25">
      <c r="B13" s="40"/>
      <c r="C13" s="41"/>
      <c r="D13" s="42"/>
      <c r="E13" s="42"/>
      <c r="F13" s="42"/>
      <c r="G13" s="42"/>
      <c r="H13" s="42"/>
      <c r="I13" s="42"/>
      <c r="J13" s="42"/>
      <c r="K13" s="42"/>
      <c r="L13" s="42"/>
      <c r="M13" s="42"/>
      <c r="N13" s="42"/>
      <c r="O13" s="42"/>
      <c r="P13" s="42"/>
      <c r="Q13" s="42"/>
      <c r="R13" s="42"/>
      <c r="S13" s="42"/>
      <c r="T13" s="42"/>
      <c r="U13" s="42"/>
      <c r="V13" s="42"/>
    </row>
    <row r="14" spans="2:24" x14ac:dyDescent="0.25">
      <c r="B14" s="5"/>
      <c r="C14" s="5"/>
      <c r="D14" s="5"/>
      <c r="E14" s="5"/>
      <c r="F14" s="5"/>
      <c r="G14" s="5"/>
      <c r="H14" s="5"/>
    </row>
    <row r="15" spans="2:24" x14ac:dyDescent="0.25">
      <c r="B15" s="13" t="s">
        <v>52</v>
      </c>
      <c r="C15" s="13" t="s">
        <v>40</v>
      </c>
      <c r="D15" s="13" t="s">
        <v>41</v>
      </c>
      <c r="E15" s="13" t="s">
        <v>42</v>
      </c>
      <c r="F15" s="13" t="s">
        <v>43</v>
      </c>
      <c r="G15" s="13" t="s">
        <v>44</v>
      </c>
      <c r="H15" s="5"/>
    </row>
    <row r="16" spans="2:24" x14ac:dyDescent="0.25">
      <c r="B16" s="14" t="s">
        <v>127</v>
      </c>
      <c r="C16" s="14">
        <v>1</v>
      </c>
      <c r="D16" s="21" t="s">
        <v>100</v>
      </c>
      <c r="E16" s="49">
        <f>Parámetros!D11</f>
        <v>11508889</v>
      </c>
      <c r="F16" s="23">
        <v>11</v>
      </c>
      <c r="G16" s="57">
        <f>+C16*E16*F16*20%</f>
        <v>25319555.800000001</v>
      </c>
      <c r="H16" s="5" t="s">
        <v>123</v>
      </c>
    </row>
    <row r="17" spans="2:8" x14ac:dyDescent="0.25">
      <c r="B17" s="14" t="s">
        <v>128</v>
      </c>
      <c r="C17" s="21">
        <v>1</v>
      </c>
      <c r="D17" s="14" t="s">
        <v>100</v>
      </c>
      <c r="E17" s="49">
        <f>+Parámetros!D13</f>
        <v>8000082</v>
      </c>
      <c r="F17" s="23">
        <v>11</v>
      </c>
      <c r="G17" s="57">
        <f>+C17*E17*F17*30%</f>
        <v>26400270.599999998</v>
      </c>
      <c r="H17" s="28" t="s">
        <v>189</v>
      </c>
    </row>
    <row r="18" spans="2:8" x14ac:dyDescent="0.25">
      <c r="B18" s="56" t="s">
        <v>122</v>
      </c>
      <c r="C18" s="21">
        <v>1</v>
      </c>
      <c r="D18" s="14" t="s">
        <v>100</v>
      </c>
      <c r="E18" s="49">
        <f>+Parámetros!D16</f>
        <v>5894797</v>
      </c>
      <c r="F18" s="23">
        <v>11</v>
      </c>
      <c r="G18" s="57">
        <f>+C18*E18*F18* 30%</f>
        <v>19452830.099999998</v>
      </c>
      <c r="H18" s="5" t="s">
        <v>126</v>
      </c>
    </row>
    <row r="19" spans="2:8" ht="24.75" x14ac:dyDescent="0.25">
      <c r="B19" s="56" t="s">
        <v>138</v>
      </c>
      <c r="C19" s="55">
        <v>2</v>
      </c>
      <c r="D19" s="54" t="s">
        <v>110</v>
      </c>
      <c r="E19" s="49">
        <f>+Parámetros!F23</f>
        <v>1481462.5</v>
      </c>
      <c r="F19" s="23"/>
      <c r="G19" s="57">
        <f>+C19*E19</f>
        <v>2962925</v>
      </c>
      <c r="H19" s="5"/>
    </row>
    <row r="20" spans="2:8" ht="24.75" x14ac:dyDescent="0.25">
      <c r="B20" s="56" t="s">
        <v>139</v>
      </c>
      <c r="C20" s="55">
        <v>6</v>
      </c>
      <c r="D20" s="54" t="s">
        <v>111</v>
      </c>
      <c r="E20" s="49">
        <f>+Parámetros!F26</f>
        <v>1098191.5</v>
      </c>
      <c r="F20" s="23"/>
      <c r="G20" s="57">
        <f>+C20*E20</f>
        <v>6589149</v>
      </c>
      <c r="H20" s="5"/>
    </row>
    <row r="21" spans="2:8" ht="24.75" x14ac:dyDescent="0.25">
      <c r="B21" s="56" t="s">
        <v>108</v>
      </c>
      <c r="C21" s="21">
        <v>8</v>
      </c>
      <c r="D21" s="54" t="s">
        <v>112</v>
      </c>
      <c r="E21" s="49">
        <f>+Parámetros!C32</f>
        <v>1000000</v>
      </c>
      <c r="F21" s="23"/>
      <c r="G21" s="57">
        <f>+C21*E21</f>
        <v>8000000</v>
      </c>
      <c r="H21" s="5" t="s">
        <v>131</v>
      </c>
    </row>
    <row r="22" spans="2:8" x14ac:dyDescent="0.25">
      <c r="B22" s="14" t="s">
        <v>105</v>
      </c>
      <c r="C22" s="21">
        <v>4</v>
      </c>
      <c r="D22" s="14" t="s">
        <v>104</v>
      </c>
      <c r="E22" s="49">
        <v>1000000</v>
      </c>
      <c r="F22" s="23"/>
      <c r="G22" s="57">
        <f>+C22*E22</f>
        <v>4000000</v>
      </c>
      <c r="H22" s="5"/>
    </row>
    <row r="23" spans="2:8" x14ac:dyDescent="0.25">
      <c r="B23" s="51" t="s">
        <v>106</v>
      </c>
      <c r="C23" s="21">
        <v>2</v>
      </c>
      <c r="D23" s="14" t="s">
        <v>104</v>
      </c>
      <c r="E23" s="49">
        <v>1000000</v>
      </c>
      <c r="F23" s="23"/>
      <c r="G23" s="57">
        <f>+C23*E23</f>
        <v>2000000</v>
      </c>
      <c r="H23" s="5"/>
    </row>
    <row r="24" spans="2:8" x14ac:dyDescent="0.25">
      <c r="B24" s="292" t="s">
        <v>107</v>
      </c>
      <c r="C24" s="293"/>
      <c r="D24" s="293"/>
      <c r="E24" s="293"/>
      <c r="F24" s="294"/>
      <c r="G24" s="50">
        <f>SUM(G17:G23)</f>
        <v>69405174.699999988</v>
      </c>
      <c r="H24" s="5" t="s">
        <v>113</v>
      </c>
    </row>
    <row r="25" spans="2:8" x14ac:dyDescent="0.25">
      <c r="B25" s="14" t="s">
        <v>114</v>
      </c>
      <c r="C25" s="21">
        <v>1</v>
      </c>
      <c r="D25" s="14" t="s">
        <v>100</v>
      </c>
      <c r="E25" s="49">
        <f>+Parámetros!D16</f>
        <v>5894797</v>
      </c>
      <c r="F25" s="23">
        <v>4</v>
      </c>
      <c r="G25" s="57">
        <f>+C25*E25*F25</f>
        <v>23579188</v>
      </c>
      <c r="H25" s="28"/>
    </row>
    <row r="26" spans="2:8" x14ac:dyDescent="0.25">
      <c r="B26" s="14" t="s">
        <v>45</v>
      </c>
      <c r="C26" s="21">
        <v>6</v>
      </c>
      <c r="D26" s="14" t="s">
        <v>115</v>
      </c>
      <c r="E26" s="49">
        <f>+Parámetros!D26</f>
        <v>313769</v>
      </c>
      <c r="F26" s="23"/>
      <c r="G26" s="57">
        <f>+C26*E26</f>
        <v>1882614</v>
      </c>
      <c r="H26" s="28"/>
    </row>
    <row r="27" spans="2:8" x14ac:dyDescent="0.25">
      <c r="B27" s="14" t="s">
        <v>105</v>
      </c>
      <c r="C27" s="21">
        <v>3</v>
      </c>
      <c r="D27" s="14" t="s">
        <v>104</v>
      </c>
      <c r="E27" s="49">
        <v>1000000</v>
      </c>
      <c r="F27" s="23"/>
      <c r="G27" s="57">
        <f>+C27*E27</f>
        <v>3000000</v>
      </c>
      <c r="H27" s="28"/>
    </row>
    <row r="28" spans="2:8" x14ac:dyDescent="0.25">
      <c r="B28" s="51" t="s">
        <v>106</v>
      </c>
      <c r="C28" s="21">
        <v>2</v>
      </c>
      <c r="D28" s="14" t="s">
        <v>104</v>
      </c>
      <c r="E28" s="49">
        <v>1000000</v>
      </c>
      <c r="F28" s="23"/>
      <c r="G28" s="57">
        <f>+C28*E28</f>
        <v>2000000</v>
      </c>
      <c r="H28" s="28"/>
    </row>
    <row r="29" spans="2:8" x14ac:dyDescent="0.25">
      <c r="B29" s="292" t="s">
        <v>50</v>
      </c>
      <c r="C29" s="293"/>
      <c r="D29" s="293"/>
      <c r="E29" s="293"/>
      <c r="F29" s="294"/>
      <c r="G29" s="58">
        <f>SUM(G25:G28)</f>
        <v>30461802</v>
      </c>
      <c r="H29" s="5"/>
    </row>
    <row r="30" spans="2:8" x14ac:dyDescent="0.25">
      <c r="B30" s="14" t="s">
        <v>101</v>
      </c>
      <c r="C30" s="21">
        <v>1</v>
      </c>
      <c r="D30" s="14" t="s">
        <v>100</v>
      </c>
      <c r="E30" s="49">
        <f>+Parámetros!D13</f>
        <v>8000082</v>
      </c>
      <c r="F30" s="23">
        <v>11</v>
      </c>
      <c r="G30" s="57">
        <f>+C30*E30*F30</f>
        <v>88000902</v>
      </c>
      <c r="H30" s="5"/>
    </row>
    <row r="31" spans="2:8" x14ac:dyDescent="0.25">
      <c r="B31" s="51" t="s">
        <v>106</v>
      </c>
      <c r="C31" s="21">
        <v>2</v>
      </c>
      <c r="D31" s="14" t="s">
        <v>104</v>
      </c>
      <c r="E31" s="49">
        <v>1000000</v>
      </c>
      <c r="F31" s="23"/>
      <c r="G31" s="57">
        <f>+C31*E31</f>
        <v>2000000</v>
      </c>
      <c r="H31" s="5"/>
    </row>
    <row r="32" spans="2:8" x14ac:dyDescent="0.25">
      <c r="B32" s="292" t="s">
        <v>107</v>
      </c>
      <c r="C32" s="293"/>
      <c r="D32" s="293"/>
      <c r="E32" s="293"/>
      <c r="F32" s="294"/>
      <c r="G32" s="61">
        <f>SUM(G30:G31)</f>
        <v>90000902</v>
      </c>
      <c r="H32" s="5"/>
    </row>
    <row r="33" spans="2:8" x14ac:dyDescent="0.25">
      <c r="B33" s="59"/>
      <c r="C33" s="59"/>
      <c r="D33" s="59"/>
      <c r="E33" s="59"/>
      <c r="F33" s="59"/>
      <c r="G33" s="69"/>
      <c r="H33" s="5"/>
    </row>
    <row r="34" spans="2:8" x14ac:dyDescent="0.25">
      <c r="B34" s="59"/>
      <c r="C34" s="59"/>
      <c r="D34" s="59"/>
      <c r="E34" s="59"/>
      <c r="F34" s="59"/>
      <c r="G34" s="60"/>
      <c r="H34" s="5"/>
    </row>
    <row r="35" spans="2:8" x14ac:dyDescent="0.25">
      <c r="B35" s="13" t="s">
        <v>54</v>
      </c>
      <c r="C35" s="13" t="s">
        <v>40</v>
      </c>
      <c r="D35" s="13" t="s">
        <v>41</v>
      </c>
      <c r="E35" s="13" t="s">
        <v>42</v>
      </c>
      <c r="F35" s="13" t="s">
        <v>43</v>
      </c>
      <c r="G35" s="13" t="s">
        <v>44</v>
      </c>
      <c r="H35" s="5"/>
    </row>
    <row r="36" spans="2:8" x14ac:dyDescent="0.25">
      <c r="B36" s="14" t="s">
        <v>124</v>
      </c>
      <c r="C36" s="14">
        <v>1</v>
      </c>
      <c r="D36" s="21" t="s">
        <v>100</v>
      </c>
      <c r="E36" s="49">
        <f>Parámetros!D11</f>
        <v>11508889</v>
      </c>
      <c r="F36" s="23">
        <v>11</v>
      </c>
      <c r="G36" s="57">
        <f>+C36*E36*F36*30%</f>
        <v>37979333.699999996</v>
      </c>
      <c r="H36" s="5" t="s">
        <v>123</v>
      </c>
    </row>
    <row r="37" spans="2:8" x14ac:dyDescent="0.25">
      <c r="B37" s="14" t="s">
        <v>128</v>
      </c>
      <c r="C37" s="21">
        <v>1</v>
      </c>
      <c r="D37" s="14" t="s">
        <v>100</v>
      </c>
      <c r="E37" s="49">
        <f>Parámetros!D13</f>
        <v>8000082</v>
      </c>
      <c r="F37" s="23">
        <v>11</v>
      </c>
      <c r="G37" s="57">
        <f>+C37*E37*F37*30%</f>
        <v>26400270.599999998</v>
      </c>
      <c r="H37" s="28" t="s">
        <v>125</v>
      </c>
    </row>
    <row r="38" spans="2:8" x14ac:dyDescent="0.25">
      <c r="B38" s="56" t="s">
        <v>122</v>
      </c>
      <c r="C38" s="21">
        <v>1</v>
      </c>
      <c r="D38" s="14" t="s">
        <v>100</v>
      </c>
      <c r="E38" s="49">
        <f>Parámetros!D16</f>
        <v>5894797</v>
      </c>
      <c r="F38" s="23">
        <v>11</v>
      </c>
      <c r="G38" s="57">
        <f>+C38*E38*F38* 35%</f>
        <v>22694968.449999999</v>
      </c>
      <c r="H38" s="5" t="s">
        <v>126</v>
      </c>
    </row>
    <row r="39" spans="2:8" x14ac:dyDescent="0.25">
      <c r="B39" s="56" t="s">
        <v>108</v>
      </c>
      <c r="C39" s="21">
        <v>4</v>
      </c>
      <c r="D39" s="14" t="s">
        <v>112</v>
      </c>
      <c r="E39" s="49">
        <f>Parámetros!C32</f>
        <v>1000000</v>
      </c>
      <c r="F39" s="23"/>
      <c r="G39" s="57">
        <f t="shared" ref="G39:G44" si="2">+C39*E39</f>
        <v>4000000</v>
      </c>
      <c r="H39" s="5" t="s">
        <v>129</v>
      </c>
    </row>
    <row r="40" spans="2:8" x14ac:dyDescent="0.25">
      <c r="B40" s="56" t="s">
        <v>102</v>
      </c>
      <c r="C40" s="21">
        <v>2</v>
      </c>
      <c r="D40" s="14" t="s">
        <v>110</v>
      </c>
      <c r="E40" s="49">
        <f>Parámetros!F21</f>
        <v>2329540.5</v>
      </c>
      <c r="F40" s="23"/>
      <c r="G40" s="57">
        <f t="shared" si="2"/>
        <v>4659081</v>
      </c>
      <c r="H40" s="5"/>
    </row>
    <row r="41" spans="2:8" x14ac:dyDescent="0.25">
      <c r="B41" s="56" t="s">
        <v>103</v>
      </c>
      <c r="C41" s="21">
        <v>2</v>
      </c>
      <c r="D41" s="14" t="s">
        <v>111</v>
      </c>
      <c r="E41" s="49">
        <f>Parámetros!F23</f>
        <v>1481462.5</v>
      </c>
      <c r="F41" s="23"/>
      <c r="G41" s="57">
        <f t="shared" si="2"/>
        <v>2962925</v>
      </c>
      <c r="H41" s="5"/>
    </row>
    <row r="42" spans="2:8" x14ac:dyDescent="0.25">
      <c r="B42" s="56" t="s">
        <v>130</v>
      </c>
      <c r="C42" s="21">
        <v>1</v>
      </c>
      <c r="D42" s="54" t="s">
        <v>109</v>
      </c>
      <c r="E42" s="49">
        <f>Parámetros!C33</f>
        <v>3000000</v>
      </c>
      <c r="F42" s="23"/>
      <c r="G42" s="57">
        <f t="shared" si="2"/>
        <v>3000000</v>
      </c>
      <c r="H42" s="5"/>
    </row>
    <row r="43" spans="2:8" x14ac:dyDescent="0.25">
      <c r="B43" s="56" t="s">
        <v>134</v>
      </c>
      <c r="C43" s="21">
        <v>1</v>
      </c>
      <c r="D43" s="14" t="s">
        <v>135</v>
      </c>
      <c r="E43" s="49">
        <f>350*3300</f>
        <v>1155000</v>
      </c>
      <c r="F43" s="23"/>
      <c r="G43" s="57">
        <f t="shared" si="2"/>
        <v>1155000</v>
      </c>
      <c r="H43" s="5"/>
    </row>
    <row r="44" spans="2:8" x14ac:dyDescent="0.25">
      <c r="B44" s="51" t="s">
        <v>106</v>
      </c>
      <c r="C44" s="21">
        <v>2</v>
      </c>
      <c r="D44" s="14" t="s">
        <v>104</v>
      </c>
      <c r="E44" s="49">
        <v>1000000</v>
      </c>
      <c r="F44" s="23"/>
      <c r="G44" s="57">
        <f t="shared" si="2"/>
        <v>2000000</v>
      </c>
      <c r="H44" s="5"/>
    </row>
    <row r="45" spans="2:8" ht="24" x14ac:dyDescent="0.25">
      <c r="B45" s="68" t="s">
        <v>116</v>
      </c>
      <c r="C45" s="21"/>
      <c r="D45" s="14"/>
      <c r="E45" s="49"/>
      <c r="F45" s="23"/>
      <c r="G45" s="53" t="s">
        <v>118</v>
      </c>
      <c r="H45" s="5"/>
    </row>
    <row r="46" spans="2:8" x14ac:dyDescent="0.25">
      <c r="B46" s="292" t="s">
        <v>107</v>
      </c>
      <c r="C46" s="293"/>
      <c r="D46" s="293"/>
      <c r="E46" s="293"/>
      <c r="F46" s="294"/>
      <c r="G46" s="50">
        <f>SUM(G37:G44)</f>
        <v>66872245.049999997</v>
      </c>
      <c r="H46" s="5"/>
    </row>
    <row r="47" spans="2:8" x14ac:dyDescent="0.25">
      <c r="B47" s="59"/>
      <c r="C47" s="59"/>
      <c r="D47" s="59"/>
      <c r="E47" s="59"/>
      <c r="F47" s="59"/>
      <c r="G47" s="70"/>
      <c r="H47" s="5"/>
    </row>
    <row r="49" spans="2:8" x14ac:dyDescent="0.25">
      <c r="B49" s="13" t="s">
        <v>120</v>
      </c>
      <c r="C49" s="13" t="s">
        <v>40</v>
      </c>
      <c r="D49" s="13" t="s">
        <v>41</v>
      </c>
      <c r="E49" s="13" t="s">
        <v>42</v>
      </c>
      <c r="F49" s="13" t="s">
        <v>43</v>
      </c>
      <c r="G49" s="13" t="s">
        <v>44</v>
      </c>
    </row>
    <row r="50" spans="2:8" x14ac:dyDescent="0.25">
      <c r="B50" s="14" t="s">
        <v>124</v>
      </c>
      <c r="C50" s="14">
        <v>1</v>
      </c>
      <c r="D50" s="21" t="s">
        <v>100</v>
      </c>
      <c r="E50" s="49">
        <f>Parámetros!D11</f>
        <v>11508889</v>
      </c>
      <c r="F50" s="23">
        <v>11</v>
      </c>
      <c r="G50" s="57">
        <f>+C50*E50*F50*30%</f>
        <v>37979333.699999996</v>
      </c>
      <c r="H50" s="5" t="s">
        <v>123</v>
      </c>
    </row>
    <row r="51" spans="2:8" x14ac:dyDescent="0.25">
      <c r="B51" s="14" t="s">
        <v>137</v>
      </c>
      <c r="C51" s="21">
        <v>1</v>
      </c>
      <c r="D51" s="14" t="s">
        <v>100</v>
      </c>
      <c r="E51" s="49">
        <f>Parámetros!D13</f>
        <v>8000082</v>
      </c>
      <c r="F51" s="23">
        <v>11</v>
      </c>
      <c r="G51" s="57">
        <f>+C51*E51*F51*20%</f>
        <v>17600180.400000002</v>
      </c>
      <c r="H51" s="28" t="s">
        <v>125</v>
      </c>
    </row>
    <row r="52" spans="2:8" x14ac:dyDescent="0.25">
      <c r="B52" s="56" t="s">
        <v>184</v>
      </c>
      <c r="C52" s="21">
        <v>1</v>
      </c>
      <c r="D52" s="14" t="s">
        <v>100</v>
      </c>
      <c r="E52" s="49">
        <f>Parámetros!D16</f>
        <v>5894797</v>
      </c>
      <c r="F52" s="23">
        <v>11</v>
      </c>
      <c r="G52" s="57">
        <f>+C52*E52*F52*30%</f>
        <v>19452830.099999998</v>
      </c>
      <c r="H52" s="5" t="s">
        <v>126</v>
      </c>
    </row>
    <row r="53" spans="2:8" x14ac:dyDescent="0.25">
      <c r="B53" s="56" t="s">
        <v>108</v>
      </c>
      <c r="C53" s="21">
        <v>4</v>
      </c>
      <c r="D53" s="14" t="s">
        <v>112</v>
      </c>
      <c r="E53" s="49">
        <f>+Parámetros!C32</f>
        <v>1000000</v>
      </c>
      <c r="F53" s="23"/>
      <c r="G53" s="57">
        <f t="shared" ref="G53:G58" si="3">+C53*E53</f>
        <v>4000000</v>
      </c>
      <c r="H53" s="5" t="s">
        <v>129</v>
      </c>
    </row>
    <row r="54" spans="2:8" x14ac:dyDescent="0.25">
      <c r="B54" s="56" t="s">
        <v>102</v>
      </c>
      <c r="C54" s="21">
        <v>2</v>
      </c>
      <c r="D54" s="14" t="s">
        <v>110</v>
      </c>
      <c r="E54" s="49">
        <f>Parámetros!F21</f>
        <v>2329540.5</v>
      </c>
      <c r="F54" s="23"/>
      <c r="G54" s="57">
        <f t="shared" si="3"/>
        <v>4659081</v>
      </c>
      <c r="H54" s="5"/>
    </row>
    <row r="55" spans="2:8" x14ac:dyDescent="0.25">
      <c r="B55" s="56" t="s">
        <v>103</v>
      </c>
      <c r="C55" s="21">
        <v>2</v>
      </c>
      <c r="D55" s="14" t="s">
        <v>111</v>
      </c>
      <c r="E55" s="49">
        <f>Parámetros!F23</f>
        <v>1481462.5</v>
      </c>
      <c r="F55" s="23"/>
      <c r="G55" s="57">
        <f t="shared" si="3"/>
        <v>2962925</v>
      </c>
      <c r="H55" s="5"/>
    </row>
    <row r="56" spans="2:8" x14ac:dyDescent="0.25">
      <c r="B56" s="56" t="s">
        <v>130</v>
      </c>
      <c r="C56" s="21">
        <v>1</v>
      </c>
      <c r="D56" s="54" t="s">
        <v>109</v>
      </c>
      <c r="E56" s="49">
        <f>Parámetros!C33</f>
        <v>3000000</v>
      </c>
      <c r="F56" s="23"/>
      <c r="G56" s="57">
        <f t="shared" si="3"/>
        <v>3000000</v>
      </c>
      <c r="H56" s="5"/>
    </row>
    <row r="57" spans="2:8" x14ac:dyDescent="0.25">
      <c r="B57" s="68" t="s">
        <v>134</v>
      </c>
      <c r="C57" s="21">
        <v>1</v>
      </c>
      <c r="D57" s="14" t="s">
        <v>135</v>
      </c>
      <c r="E57" s="49">
        <f>350*3300</f>
        <v>1155000</v>
      </c>
      <c r="F57" s="23"/>
      <c r="G57" s="57">
        <f t="shared" si="3"/>
        <v>1155000</v>
      </c>
      <c r="H57" s="5"/>
    </row>
    <row r="58" spans="2:8" x14ac:dyDescent="0.25">
      <c r="B58" s="51" t="s">
        <v>106</v>
      </c>
      <c r="C58" s="21">
        <v>2</v>
      </c>
      <c r="D58" s="14" t="s">
        <v>104</v>
      </c>
      <c r="E58" s="49">
        <v>1000000</v>
      </c>
      <c r="F58" s="23"/>
      <c r="G58" s="57">
        <f t="shared" si="3"/>
        <v>2000000</v>
      </c>
      <c r="H58" s="5"/>
    </row>
    <row r="59" spans="2:8" ht="24" x14ac:dyDescent="0.25">
      <c r="B59" s="68" t="s">
        <v>116</v>
      </c>
      <c r="C59" s="21"/>
      <c r="D59" s="14"/>
      <c r="E59" s="49"/>
      <c r="F59" s="23"/>
      <c r="G59" s="53" t="s">
        <v>118</v>
      </c>
      <c r="H59" s="5"/>
    </row>
    <row r="60" spans="2:8" x14ac:dyDescent="0.25">
      <c r="B60" s="292" t="s">
        <v>107</v>
      </c>
      <c r="C60" s="293"/>
      <c r="D60" s="293"/>
      <c r="E60" s="293"/>
      <c r="F60" s="294"/>
      <c r="G60" s="50">
        <f>SUM(G51:G58)</f>
        <v>54830016.5</v>
      </c>
      <c r="H60" s="5"/>
    </row>
    <row r="63" spans="2:8" x14ac:dyDescent="0.25">
      <c r="B63" s="13" t="s">
        <v>181</v>
      </c>
      <c r="C63" s="13" t="s">
        <v>40</v>
      </c>
      <c r="D63" s="13" t="s">
        <v>41</v>
      </c>
      <c r="E63" s="13" t="s">
        <v>42</v>
      </c>
      <c r="F63" s="13" t="s">
        <v>43</v>
      </c>
      <c r="G63" s="13" t="s">
        <v>44</v>
      </c>
    </row>
    <row r="64" spans="2:8" x14ac:dyDescent="0.25">
      <c r="B64" s="14" t="s">
        <v>182</v>
      </c>
      <c r="C64" s="14">
        <v>1</v>
      </c>
      <c r="D64" s="21" t="s">
        <v>100</v>
      </c>
      <c r="E64" s="49">
        <f>Parámetros!D11</f>
        <v>11508889</v>
      </c>
      <c r="F64" s="23">
        <v>11</v>
      </c>
      <c r="G64" s="57">
        <f>+C64*E64*F64*10%</f>
        <v>12659777.9</v>
      </c>
    </row>
    <row r="65" spans="2:8" x14ac:dyDescent="0.25">
      <c r="B65" s="14" t="s">
        <v>183</v>
      </c>
      <c r="C65" s="21">
        <v>1</v>
      </c>
      <c r="D65" s="14" t="s">
        <v>100</v>
      </c>
      <c r="E65" s="49">
        <f>Parámetros!D13</f>
        <v>8000082</v>
      </c>
      <c r="F65" s="23">
        <v>11</v>
      </c>
      <c r="G65" s="57">
        <f>+C65*E65*F65*10%</f>
        <v>8800090.2000000011</v>
      </c>
    </row>
    <row r="66" spans="2:8" x14ac:dyDescent="0.25">
      <c r="B66" s="56" t="s">
        <v>185</v>
      </c>
      <c r="C66" s="21">
        <v>1</v>
      </c>
      <c r="D66" s="14" t="s">
        <v>100</v>
      </c>
      <c r="E66" s="49">
        <f>+Parámetros!D16</f>
        <v>5894797</v>
      </c>
      <c r="F66" s="23">
        <v>11</v>
      </c>
      <c r="G66" s="57">
        <f>+C66*E66*F66*50%</f>
        <v>32421383.5</v>
      </c>
    </row>
    <row r="67" spans="2:8" x14ac:dyDescent="0.25">
      <c r="B67" s="56" t="s">
        <v>108</v>
      </c>
      <c r="C67" s="21">
        <v>4</v>
      </c>
      <c r="D67" s="14" t="s">
        <v>112</v>
      </c>
      <c r="E67" s="49">
        <f>+Parámetros!C32</f>
        <v>1000000</v>
      </c>
      <c r="F67" s="23"/>
      <c r="G67" s="57">
        <f t="shared" ref="G67:G72" si="4">+C67*E67</f>
        <v>4000000</v>
      </c>
    </row>
    <row r="68" spans="2:8" x14ac:dyDescent="0.25">
      <c r="B68" s="56" t="s">
        <v>102</v>
      </c>
      <c r="C68" s="21">
        <v>2</v>
      </c>
      <c r="D68" s="14" t="s">
        <v>110</v>
      </c>
      <c r="E68" s="49">
        <f>+Parámetros!D21</f>
        <v>665583</v>
      </c>
      <c r="F68" s="23"/>
      <c r="G68" s="57">
        <f t="shared" si="4"/>
        <v>1331166</v>
      </c>
    </row>
    <row r="69" spans="2:8" x14ac:dyDescent="0.25">
      <c r="B69" s="56" t="s">
        <v>103</v>
      </c>
      <c r="C69" s="21">
        <v>2</v>
      </c>
      <c r="D69" s="14" t="s">
        <v>111</v>
      </c>
      <c r="E69" s="49">
        <f>+Parámetros!D23</f>
        <v>423275</v>
      </c>
      <c r="F69" s="23"/>
      <c r="G69" s="57">
        <f t="shared" si="4"/>
        <v>846550</v>
      </c>
    </row>
    <row r="70" spans="2:8" x14ac:dyDescent="0.25">
      <c r="B70" s="56" t="s">
        <v>130</v>
      </c>
      <c r="C70" s="21">
        <v>1</v>
      </c>
      <c r="D70" s="54" t="s">
        <v>109</v>
      </c>
      <c r="E70" s="49">
        <f>+Parámetros!C33</f>
        <v>3000000</v>
      </c>
      <c r="F70" s="23"/>
      <c r="G70" s="57">
        <f t="shared" si="4"/>
        <v>3000000</v>
      </c>
    </row>
    <row r="71" spans="2:8" x14ac:dyDescent="0.25">
      <c r="B71" s="56" t="s">
        <v>134</v>
      </c>
      <c r="C71" s="21">
        <v>1</v>
      </c>
      <c r="D71" s="14" t="s">
        <v>135</v>
      </c>
      <c r="E71" s="49">
        <f>350*3300</f>
        <v>1155000</v>
      </c>
      <c r="F71" s="23"/>
      <c r="G71" s="57">
        <f t="shared" si="4"/>
        <v>1155000</v>
      </c>
    </row>
    <row r="72" spans="2:8" x14ac:dyDescent="0.25">
      <c r="B72" s="51" t="s">
        <v>106</v>
      </c>
      <c r="C72" s="21">
        <v>2</v>
      </c>
      <c r="D72" s="14" t="s">
        <v>104</v>
      </c>
      <c r="E72" s="49">
        <v>1000000</v>
      </c>
      <c r="F72" s="23"/>
      <c r="G72" s="57">
        <f t="shared" si="4"/>
        <v>2000000</v>
      </c>
    </row>
    <row r="73" spans="2:8" x14ac:dyDescent="0.25">
      <c r="B73" s="292" t="s">
        <v>107</v>
      </c>
      <c r="C73" s="293"/>
      <c r="D73" s="293"/>
      <c r="E73" s="293"/>
      <c r="F73" s="294"/>
      <c r="G73" s="50">
        <f>SUM(G65:G72)</f>
        <v>53554189.700000003</v>
      </c>
    </row>
    <row r="74" spans="2:8" x14ac:dyDescent="0.25">
      <c r="B74" s="14" t="s">
        <v>191</v>
      </c>
      <c r="C74" s="14">
        <v>1</v>
      </c>
      <c r="D74" s="21" t="s">
        <v>100</v>
      </c>
      <c r="E74" s="49">
        <f>+Parámetros!D16</f>
        <v>5894797</v>
      </c>
      <c r="F74" s="23">
        <v>11</v>
      </c>
      <c r="G74" s="72">
        <f>+C74*E74*F74</f>
        <v>64842767</v>
      </c>
      <c r="H74" s="1" t="s">
        <v>192</v>
      </c>
    </row>
    <row r="75" spans="2:8" x14ac:dyDescent="0.25">
      <c r="B75" s="59"/>
      <c r="C75" s="59"/>
      <c r="D75" s="59"/>
      <c r="E75" s="59"/>
      <c r="F75" s="59"/>
      <c r="G75" s="70"/>
    </row>
    <row r="76" spans="2:8" x14ac:dyDescent="0.25">
      <c r="B76" s="59"/>
      <c r="C76" s="59"/>
      <c r="D76" s="59"/>
      <c r="E76" s="59"/>
      <c r="F76" s="59"/>
      <c r="G76" s="70"/>
    </row>
    <row r="77" spans="2:8" x14ac:dyDescent="0.25">
      <c r="B77" s="59"/>
      <c r="C77" s="59"/>
      <c r="D77" s="59"/>
      <c r="E77" s="59"/>
      <c r="F77" s="59"/>
      <c r="G77" s="70"/>
    </row>
    <row r="80" spans="2:8" x14ac:dyDescent="0.25">
      <c r="B80" s="13" t="s">
        <v>186</v>
      </c>
      <c r="C80" s="13" t="s">
        <v>40</v>
      </c>
      <c r="D80" s="13" t="s">
        <v>41</v>
      </c>
      <c r="E80" s="13" t="s">
        <v>42</v>
      </c>
      <c r="F80" s="13" t="s">
        <v>43</v>
      </c>
      <c r="G80" s="13" t="s">
        <v>44</v>
      </c>
    </row>
    <row r="81" spans="2:7" x14ac:dyDescent="0.25">
      <c r="B81" s="14" t="s">
        <v>182</v>
      </c>
      <c r="C81" s="14">
        <v>1</v>
      </c>
      <c r="D81" s="21" t="s">
        <v>100</v>
      </c>
      <c r="E81" s="49">
        <f>Parámetros!D11</f>
        <v>11508889</v>
      </c>
      <c r="F81" s="23">
        <v>11</v>
      </c>
      <c r="G81" s="57">
        <f>+C81*E81*F81*10%</f>
        <v>12659777.9</v>
      </c>
    </row>
    <row r="82" spans="2:7" x14ac:dyDescent="0.25">
      <c r="B82" s="14" t="s">
        <v>183</v>
      </c>
      <c r="C82" s="21">
        <v>1</v>
      </c>
      <c r="D82" s="14" t="s">
        <v>100</v>
      </c>
      <c r="E82" s="49">
        <f>Parámetros!D13</f>
        <v>8000082</v>
      </c>
      <c r="F82" s="23">
        <v>11</v>
      </c>
      <c r="G82" s="57">
        <f>+C82*E82*F82*10%</f>
        <v>8800090.2000000011</v>
      </c>
    </row>
    <row r="83" spans="2:7" x14ac:dyDescent="0.25">
      <c r="B83" s="56" t="s">
        <v>185</v>
      </c>
      <c r="C83" s="21">
        <v>1</v>
      </c>
      <c r="D83" s="14" t="s">
        <v>100</v>
      </c>
      <c r="E83" s="49">
        <f>+Parámetros!D16</f>
        <v>5894797</v>
      </c>
      <c r="F83" s="23">
        <v>11</v>
      </c>
      <c r="G83" s="57">
        <f>+C83*E83*F83*50%</f>
        <v>32421383.5</v>
      </c>
    </row>
    <row r="84" spans="2:7" x14ac:dyDescent="0.25">
      <c r="B84" s="56" t="s">
        <v>108</v>
      </c>
      <c r="C84" s="21">
        <v>4</v>
      </c>
      <c r="D84" s="14" t="s">
        <v>187</v>
      </c>
      <c r="E84" s="49">
        <f>+Parámetros!C32</f>
        <v>1000000</v>
      </c>
      <c r="F84" s="23"/>
      <c r="G84" s="57">
        <f>+C84*E84</f>
        <v>4000000</v>
      </c>
    </row>
    <row r="85" spans="2:7" x14ac:dyDescent="0.25">
      <c r="B85" s="56" t="s">
        <v>103</v>
      </c>
      <c r="C85" s="21">
        <v>2</v>
      </c>
      <c r="D85" s="14" t="s">
        <v>110</v>
      </c>
      <c r="E85" s="49">
        <f>+Parámetros!D23</f>
        <v>423275</v>
      </c>
      <c r="F85" s="23"/>
      <c r="G85" s="57">
        <f>+C85*E85</f>
        <v>846550</v>
      </c>
    </row>
    <row r="86" spans="2:7" x14ac:dyDescent="0.25">
      <c r="B86" s="56" t="s">
        <v>121</v>
      </c>
      <c r="C86" s="21">
        <v>2</v>
      </c>
      <c r="D86" s="14" t="s">
        <v>111</v>
      </c>
      <c r="E86" s="49">
        <f>+Parámetros!D26</f>
        <v>313769</v>
      </c>
      <c r="F86" s="23"/>
      <c r="G86" s="57">
        <f>+C86*E86</f>
        <v>627538</v>
      </c>
    </row>
    <row r="87" spans="2:7" x14ac:dyDescent="0.25">
      <c r="B87" s="51" t="s">
        <v>105</v>
      </c>
      <c r="C87" s="21">
        <v>3</v>
      </c>
      <c r="D87" s="14" t="s">
        <v>104</v>
      </c>
      <c r="E87" s="49">
        <v>1000000</v>
      </c>
      <c r="F87" s="23"/>
      <c r="G87" s="57">
        <f>+C87*E87</f>
        <v>3000000</v>
      </c>
    </row>
    <row r="88" spans="2:7" x14ac:dyDescent="0.25">
      <c r="B88" s="51" t="s">
        <v>106</v>
      </c>
      <c r="C88" s="21">
        <v>2</v>
      </c>
      <c r="D88" s="14" t="s">
        <v>104</v>
      </c>
      <c r="E88" s="49">
        <v>1000000</v>
      </c>
      <c r="F88" s="23"/>
      <c r="G88" s="57">
        <f>+C88*E88</f>
        <v>2000000</v>
      </c>
    </row>
    <row r="89" spans="2:7" ht="24" x14ac:dyDescent="0.25">
      <c r="B89" s="56" t="s">
        <v>188</v>
      </c>
      <c r="C89" s="21"/>
      <c r="D89" s="14"/>
      <c r="E89" s="49"/>
      <c r="F89" s="23"/>
      <c r="G89" s="53" t="s">
        <v>118</v>
      </c>
    </row>
    <row r="90" spans="2:7" x14ac:dyDescent="0.25">
      <c r="B90" s="292" t="s">
        <v>107</v>
      </c>
      <c r="C90" s="293"/>
      <c r="D90" s="293"/>
      <c r="E90" s="293"/>
      <c r="F90" s="294"/>
      <c r="G90" s="50">
        <f>SUM(G82:G87)</f>
        <v>49695561.700000003</v>
      </c>
    </row>
  </sheetData>
  <mergeCells count="7">
    <mergeCell ref="B73:F73"/>
    <mergeCell ref="B90:F90"/>
    <mergeCell ref="B60:F60"/>
    <mergeCell ref="B24:F24"/>
    <mergeCell ref="B29:F29"/>
    <mergeCell ref="B32:F32"/>
    <mergeCell ref="B46:F46"/>
  </mergeCells>
  <pageMargins left="0.7" right="0.7" top="0.75" bottom="0.75" header="0.3" footer="0.3"/>
  <ignoredErrors>
    <ignoredError sqref="G5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X44"/>
  <sheetViews>
    <sheetView workbookViewId="0">
      <selection activeCell="A19" sqref="A1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7" width="14.42578125" style="1" bestFit="1" customWidth="1"/>
    <col min="8" max="8" width="14.85546875" style="1" bestFit="1" customWidth="1"/>
    <col min="9" max="9" width="14.42578125" style="1" bestFit="1" customWidth="1"/>
    <col min="10" max="10" width="13.7109375" style="1" customWidth="1"/>
    <col min="11" max="11" width="12.85546875" style="1" customWidth="1"/>
    <col min="12" max="12" width="11.85546875" style="1" customWidth="1"/>
    <col min="13" max="13" width="13.5703125" style="1" customWidth="1"/>
    <col min="14" max="14" width="12.85546875" style="1" customWidth="1"/>
    <col min="15" max="15" width="14.28515625" style="1" customWidth="1"/>
    <col min="16" max="16" width="13.42578125" style="1" customWidth="1"/>
    <col min="17" max="17" width="13.7109375" style="1" customWidth="1"/>
    <col min="18" max="18" width="12.5703125" style="1" customWidth="1"/>
    <col min="19" max="19" width="13.28515625" style="1" customWidth="1"/>
    <col min="20" max="20" width="14" style="1" customWidth="1"/>
    <col min="21" max="22" width="14.28515625" style="1" customWidth="1"/>
    <col min="23" max="23" width="15.57031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detallado'!B12</f>
        <v xml:space="preserve">1.2. Desarrollo de clústeres agroindustriales arroceros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s="152" customFormat="1" ht="26.25" customHeight="1" x14ac:dyDescent="0.25">
      <c r="B8" s="18" t="str">
        <f>+'Presupuesto detallado'!B13</f>
        <v>1.2.1. Zonificación de las áreas para el desarrollo de clústeres agroindustriales de arroz</v>
      </c>
      <c r="C8" s="19" t="s">
        <v>151</v>
      </c>
      <c r="D8" s="151"/>
      <c r="E8" s="56"/>
      <c r="F8" s="116">
        <f>H22</f>
        <v>723880863.64999998</v>
      </c>
      <c r="G8" s="116">
        <f>H22</f>
        <v>723880863.64999998</v>
      </c>
      <c r="H8" s="116">
        <f>H22</f>
        <v>723880863.64999998</v>
      </c>
      <c r="I8" s="117"/>
      <c r="J8" s="117"/>
      <c r="L8" s="56"/>
      <c r="M8" s="56"/>
      <c r="N8" s="56"/>
      <c r="O8" s="56"/>
      <c r="P8" s="56"/>
      <c r="Q8" s="56"/>
      <c r="R8" s="56"/>
      <c r="S8" s="56"/>
      <c r="T8" s="56"/>
      <c r="U8" s="56"/>
      <c r="V8" s="56"/>
      <c r="W8" s="116">
        <f>SUM(F8:V8)</f>
        <v>2171642590.9499998</v>
      </c>
    </row>
    <row r="9" spans="2:24" s="152" customFormat="1" ht="48" x14ac:dyDescent="0.25">
      <c r="B9" s="18" t="str">
        <f>+'Presupuesto detallado'!B14</f>
        <v>1.2.2. Implementación de los clústeres, constitución de unidades empresariales y asociaciones, asi como del desarrollo de procesos agroindustriales, que generen productos con mayor valor agregado</v>
      </c>
      <c r="C9" s="19" t="s">
        <v>150</v>
      </c>
      <c r="D9" s="151"/>
      <c r="E9" s="56"/>
      <c r="F9" s="117"/>
      <c r="G9" s="116">
        <f>H33</f>
        <v>256601288.65000001</v>
      </c>
      <c r="H9" s="116">
        <f>H33</f>
        <v>256601288.65000001</v>
      </c>
      <c r="I9" s="116">
        <f>+H33</f>
        <v>256601288.65000001</v>
      </c>
      <c r="J9" s="18" t="s">
        <v>118</v>
      </c>
      <c r="K9" s="18" t="s">
        <v>118</v>
      </c>
      <c r="L9" s="18" t="s">
        <v>118</v>
      </c>
      <c r="M9" s="18" t="s">
        <v>118</v>
      </c>
      <c r="N9" s="18" t="s">
        <v>118</v>
      </c>
      <c r="O9" s="18" t="s">
        <v>118</v>
      </c>
      <c r="P9" s="18" t="s">
        <v>118</v>
      </c>
      <c r="Q9" s="18" t="s">
        <v>118</v>
      </c>
      <c r="R9" s="18" t="s">
        <v>118</v>
      </c>
      <c r="S9" s="18" t="s">
        <v>118</v>
      </c>
      <c r="T9" s="18" t="s">
        <v>118</v>
      </c>
      <c r="U9" s="18" t="s">
        <v>118</v>
      </c>
      <c r="V9" s="18" t="s">
        <v>118</v>
      </c>
      <c r="W9" s="116">
        <f>SUM(F9:V9)</f>
        <v>769803865.95000005</v>
      </c>
    </row>
    <row r="10" spans="2:24" s="152" customFormat="1" ht="41.25" customHeight="1" x14ac:dyDescent="0.25">
      <c r="B10" s="18" t="str">
        <f>+'Presupuesto detallado'!B15</f>
        <v xml:space="preserve">1.2.3. Implementación de sistemas productivos agropecuarios que complementen la actividad arrocera, promoviendo la rotación del cultivo </v>
      </c>
      <c r="C10" s="19" t="s">
        <v>334</v>
      </c>
      <c r="D10" s="151"/>
      <c r="E10" s="151"/>
      <c r="F10" s="116"/>
      <c r="G10" s="116">
        <f>+H41</f>
        <v>269560628.69999999</v>
      </c>
      <c r="H10" s="117">
        <f>+H41</f>
        <v>269560628.69999999</v>
      </c>
      <c r="I10" s="117">
        <f>+H41</f>
        <v>269560628.69999999</v>
      </c>
      <c r="J10" s="18" t="s">
        <v>218</v>
      </c>
      <c r="K10" s="18" t="s">
        <v>218</v>
      </c>
      <c r="L10" s="18" t="s">
        <v>218</v>
      </c>
      <c r="M10" s="18" t="s">
        <v>218</v>
      </c>
      <c r="N10" s="18" t="s">
        <v>218</v>
      </c>
      <c r="O10" s="18" t="s">
        <v>218</v>
      </c>
      <c r="P10" s="18" t="s">
        <v>218</v>
      </c>
      <c r="Q10" s="18" t="s">
        <v>218</v>
      </c>
      <c r="R10" s="18" t="s">
        <v>218</v>
      </c>
      <c r="S10" s="18" t="s">
        <v>218</v>
      </c>
      <c r="T10" s="18" t="s">
        <v>218</v>
      </c>
      <c r="U10" s="18" t="s">
        <v>218</v>
      </c>
      <c r="V10" s="18" t="s">
        <v>218</v>
      </c>
      <c r="W10" s="116">
        <f>SUM(F10:V10)</f>
        <v>808681886.0999999</v>
      </c>
    </row>
    <row r="11" spans="2:24" x14ac:dyDescent="0.25">
      <c r="W11" s="156">
        <f>SUM(W8:W10)</f>
        <v>3750128342.9999995</v>
      </c>
    </row>
    <row r="12" spans="2:24" x14ac:dyDescent="0.25">
      <c r="B12" s="13" t="s">
        <v>227</v>
      </c>
      <c r="C12" s="13" t="s">
        <v>40</v>
      </c>
      <c r="D12" s="13" t="s">
        <v>41</v>
      </c>
      <c r="E12" s="13" t="s">
        <v>42</v>
      </c>
      <c r="F12" s="13" t="s">
        <v>554</v>
      </c>
      <c r="G12" s="13" t="s">
        <v>43</v>
      </c>
      <c r="H12" s="13" t="s">
        <v>44</v>
      </c>
      <c r="I12" s="5"/>
      <c r="W12" s="156">
        <f>+'Presupuesto detallado'!V12</f>
        <v>3750128342.9999995</v>
      </c>
    </row>
    <row r="13" spans="2:24" x14ac:dyDescent="0.25">
      <c r="B13" s="13" t="s">
        <v>228</v>
      </c>
      <c r="C13" s="13"/>
      <c r="D13" s="13"/>
      <c r="E13" s="13"/>
      <c r="F13" s="13"/>
      <c r="G13" s="13"/>
      <c r="H13" s="13"/>
      <c r="I13" s="5"/>
      <c r="W13" s="220">
        <f>+W11-W12</f>
        <v>0</v>
      </c>
    </row>
    <row r="14" spans="2:24" x14ac:dyDescent="0.25">
      <c r="B14" s="14" t="s">
        <v>638</v>
      </c>
      <c r="C14" s="14">
        <v>1</v>
      </c>
      <c r="D14" s="21" t="s">
        <v>100</v>
      </c>
      <c r="E14" s="49">
        <f>+Parámetros!D11</f>
        <v>11508889</v>
      </c>
      <c r="F14" s="118">
        <v>0.35</v>
      </c>
      <c r="G14" s="23">
        <v>11</v>
      </c>
      <c r="H14" s="57">
        <f>C14*E14*G14*F14</f>
        <v>44309222.649999999</v>
      </c>
      <c r="I14" s="5"/>
    </row>
    <row r="15" spans="2:24" ht="15.75" customHeight="1" x14ac:dyDescent="0.25">
      <c r="B15" s="14" t="s">
        <v>689</v>
      </c>
      <c r="C15" s="21">
        <v>10</v>
      </c>
      <c r="D15" s="14" t="s">
        <v>100</v>
      </c>
      <c r="E15" s="49">
        <f>+Parámetros!D16</f>
        <v>5894797</v>
      </c>
      <c r="F15" s="118"/>
      <c r="G15" s="23">
        <v>10</v>
      </c>
      <c r="H15" s="57">
        <f>C15*E15*G15</f>
        <v>589479700</v>
      </c>
      <c r="I15" s="5"/>
    </row>
    <row r="16" spans="2:24" ht="15.75" customHeight="1" x14ac:dyDescent="0.25">
      <c r="B16" s="14" t="s">
        <v>695</v>
      </c>
      <c r="C16" s="21">
        <v>6</v>
      </c>
      <c r="D16" s="14" t="s">
        <v>194</v>
      </c>
      <c r="E16" s="49">
        <f>+Parámetros!C32</f>
        <v>1000000</v>
      </c>
      <c r="F16" s="118"/>
      <c r="G16" s="23"/>
      <c r="H16" s="57">
        <f>+C16*E16</f>
        <v>6000000</v>
      </c>
      <c r="I16" s="5"/>
    </row>
    <row r="17" spans="2:9" ht="15.75" customHeight="1" x14ac:dyDescent="0.25">
      <c r="B17" s="14" t="s">
        <v>694</v>
      </c>
      <c r="C17" s="21">
        <v>18</v>
      </c>
      <c r="D17" s="14" t="s">
        <v>696</v>
      </c>
      <c r="E17" s="49">
        <f>+Parámetros!D26</f>
        <v>313769</v>
      </c>
      <c r="F17" s="118"/>
      <c r="G17" s="23"/>
      <c r="H17" s="57">
        <f>+C17*E17</f>
        <v>5647842</v>
      </c>
      <c r="I17" s="5"/>
    </row>
    <row r="18" spans="2:9" ht="15.75" customHeight="1" x14ac:dyDescent="0.25">
      <c r="B18" s="14" t="s">
        <v>690</v>
      </c>
      <c r="C18" s="21">
        <v>3</v>
      </c>
      <c r="D18" s="14" t="s">
        <v>100</v>
      </c>
      <c r="E18" s="49">
        <f>+Parámetros!D16</f>
        <v>5894797</v>
      </c>
      <c r="F18" s="118"/>
      <c r="G18" s="23">
        <v>4</v>
      </c>
      <c r="H18" s="57">
        <f>+C18*E18*G18</f>
        <v>70737564</v>
      </c>
      <c r="I18" s="5"/>
    </row>
    <row r="19" spans="2:9" ht="15.75" customHeight="1" x14ac:dyDescent="0.25">
      <c r="B19" s="14" t="s">
        <v>692</v>
      </c>
      <c r="C19" s="21">
        <v>3</v>
      </c>
      <c r="D19" s="14" t="s">
        <v>194</v>
      </c>
      <c r="E19" s="49">
        <f>+Parámetros!C32</f>
        <v>1000000</v>
      </c>
      <c r="F19" s="118"/>
      <c r="G19" s="23"/>
      <c r="H19" s="57">
        <f>+C19*E19</f>
        <v>3000000</v>
      </c>
      <c r="I19" s="5"/>
    </row>
    <row r="20" spans="2:9" ht="15.75" customHeight="1" x14ac:dyDescent="0.25">
      <c r="B20" s="14" t="s">
        <v>691</v>
      </c>
      <c r="C20" s="21">
        <v>15</v>
      </c>
      <c r="D20" s="14" t="s">
        <v>693</v>
      </c>
      <c r="E20" s="49">
        <f>+Parámetros!D26</f>
        <v>313769</v>
      </c>
      <c r="F20" s="118"/>
      <c r="G20" s="23"/>
      <c r="H20" s="57">
        <f>+C20*E20</f>
        <v>4706535</v>
      </c>
      <c r="I20" s="5"/>
    </row>
    <row r="21" spans="2:9" ht="24.75" x14ac:dyDescent="0.25">
      <c r="B21" s="56" t="s">
        <v>320</v>
      </c>
      <c r="C21" s="21"/>
      <c r="D21" s="14"/>
      <c r="E21" s="49"/>
      <c r="F21" s="118"/>
      <c r="G21" s="23"/>
      <c r="H21" s="97" t="s">
        <v>218</v>
      </c>
      <c r="I21" s="5"/>
    </row>
    <row r="22" spans="2:9" x14ac:dyDescent="0.25">
      <c r="B22" s="203" t="s">
        <v>234</v>
      </c>
      <c r="C22" s="204"/>
      <c r="D22" s="204"/>
      <c r="E22" s="204"/>
      <c r="F22" s="214"/>
      <c r="G22" s="205"/>
      <c r="H22" s="26">
        <f>SUM(H14:H21)</f>
        <v>723880863.64999998</v>
      </c>
      <c r="I22" s="5"/>
    </row>
    <row r="23" spans="2:9" ht="15" customHeight="1" x14ac:dyDescent="0.25">
      <c r="B23" s="322" t="s">
        <v>632</v>
      </c>
      <c r="C23" s="322"/>
      <c r="D23" s="322"/>
      <c r="E23" s="322"/>
      <c r="F23" s="322"/>
      <c r="G23" s="322"/>
      <c r="H23" s="5"/>
    </row>
    <row r="24" spans="2:9" x14ac:dyDescent="0.25">
      <c r="B24" s="5"/>
      <c r="C24" s="5"/>
      <c r="D24" s="5"/>
      <c r="E24" s="5"/>
      <c r="F24" s="5"/>
      <c r="G24" s="5"/>
      <c r="H24" s="5"/>
    </row>
    <row r="25" spans="2:9" x14ac:dyDescent="0.25">
      <c r="B25" s="13" t="s">
        <v>229</v>
      </c>
      <c r="C25" s="13" t="s">
        <v>40</v>
      </c>
      <c r="D25" s="13" t="s">
        <v>41</v>
      </c>
      <c r="E25" s="13" t="s">
        <v>42</v>
      </c>
      <c r="F25" s="13" t="s">
        <v>554</v>
      </c>
      <c r="G25" s="13" t="s">
        <v>43</v>
      </c>
      <c r="H25" s="13" t="s">
        <v>44</v>
      </c>
      <c r="I25" s="28"/>
    </row>
    <row r="26" spans="2:9" x14ac:dyDescent="0.25">
      <c r="B26" s="14" t="s">
        <v>638</v>
      </c>
      <c r="C26" s="21">
        <v>1</v>
      </c>
      <c r="D26" s="14" t="s">
        <v>230</v>
      </c>
      <c r="E26" s="216">
        <f>+Parámetros!D11</f>
        <v>11508889</v>
      </c>
      <c r="F26" s="206">
        <v>0.35</v>
      </c>
      <c r="G26" s="108">
        <v>11</v>
      </c>
      <c r="H26" s="57">
        <f>E26*G26*F26*C26</f>
        <v>44309222.649999999</v>
      </c>
      <c r="I26" s="5"/>
    </row>
    <row r="27" spans="2:9" x14ac:dyDescent="0.25">
      <c r="B27" s="14" t="s">
        <v>558</v>
      </c>
      <c r="C27" s="21">
        <v>2</v>
      </c>
      <c r="D27" s="14" t="s">
        <v>251</v>
      </c>
      <c r="E27" s="216">
        <f>+Parámetros!D14</f>
        <v>7017615</v>
      </c>
      <c r="F27" s="206">
        <v>0.5</v>
      </c>
      <c r="G27" s="108">
        <v>11</v>
      </c>
      <c r="H27" s="57">
        <f>E27*G27*C27</f>
        <v>154387530</v>
      </c>
      <c r="I27" s="187"/>
    </row>
    <row r="28" spans="2:9" x14ac:dyDescent="0.25">
      <c r="B28" s="14" t="s">
        <v>232</v>
      </c>
      <c r="C28" s="21">
        <v>4</v>
      </c>
      <c r="D28" s="14" t="s">
        <v>104</v>
      </c>
      <c r="E28" s="216">
        <v>3000000</v>
      </c>
      <c r="F28" s="217"/>
      <c r="G28" s="108"/>
      <c r="H28" s="57">
        <f>C28*E28</f>
        <v>12000000</v>
      </c>
      <c r="I28" s="176"/>
    </row>
    <row r="29" spans="2:9" x14ac:dyDescent="0.25">
      <c r="B29" s="14" t="s">
        <v>233</v>
      </c>
      <c r="C29" s="21">
        <v>6</v>
      </c>
      <c r="D29" s="14" t="s">
        <v>104</v>
      </c>
      <c r="E29" s="216">
        <v>5000000</v>
      </c>
      <c r="F29" s="217"/>
      <c r="G29" s="108"/>
      <c r="H29" s="57">
        <f>C29*E29</f>
        <v>30000000</v>
      </c>
      <c r="I29" s="187"/>
    </row>
    <row r="30" spans="2:9" x14ac:dyDescent="0.25">
      <c r="B30" s="14" t="s">
        <v>193</v>
      </c>
      <c r="C30" s="21">
        <v>6</v>
      </c>
      <c r="D30" s="14" t="s">
        <v>194</v>
      </c>
      <c r="E30" s="216">
        <f>+Parámetros!C32</f>
        <v>1000000</v>
      </c>
      <c r="F30" s="217"/>
      <c r="G30" s="108"/>
      <c r="H30" s="57">
        <f>+C30*E30</f>
        <v>6000000</v>
      </c>
      <c r="I30" s="176"/>
    </row>
    <row r="31" spans="2:9" x14ac:dyDescent="0.25">
      <c r="B31" s="14" t="s">
        <v>45</v>
      </c>
      <c r="C31" s="21">
        <v>18</v>
      </c>
      <c r="D31" s="14" t="s">
        <v>115</v>
      </c>
      <c r="E31" s="216">
        <f>+Parámetros!D22</f>
        <v>550252</v>
      </c>
      <c r="F31" s="217"/>
      <c r="G31" s="108"/>
      <c r="H31" s="57">
        <f>+C31*E31</f>
        <v>9904536</v>
      </c>
      <c r="I31" s="5"/>
    </row>
    <row r="32" spans="2:9" ht="24" x14ac:dyDescent="0.25">
      <c r="B32" s="68" t="s">
        <v>322</v>
      </c>
      <c r="C32" s="106"/>
      <c r="D32" s="107"/>
      <c r="E32" s="155"/>
      <c r="F32" s="20"/>
      <c r="G32" s="108"/>
      <c r="H32" s="53" t="str">
        <f>+Parámetros!C4</f>
        <v>Presupuesto relativo</v>
      </c>
      <c r="I32" s="5"/>
    </row>
    <row r="33" spans="2:9" x14ac:dyDescent="0.25">
      <c r="B33" s="203" t="s">
        <v>234</v>
      </c>
      <c r="C33" s="204"/>
      <c r="D33" s="204"/>
      <c r="E33" s="204"/>
      <c r="G33" s="205"/>
      <c r="H33" s="26">
        <f>SUM(H26:H32)</f>
        <v>256601288.65000001</v>
      </c>
      <c r="I33" s="5"/>
    </row>
    <row r="34" spans="2:9" x14ac:dyDescent="0.25">
      <c r="B34" s="319" t="s">
        <v>333</v>
      </c>
      <c r="C34" s="320"/>
      <c r="D34" s="320"/>
      <c r="E34" s="320"/>
      <c r="F34" s="320"/>
      <c r="G34" s="320"/>
    </row>
    <row r="35" spans="2:9" x14ac:dyDescent="0.25">
      <c r="B35" s="321"/>
      <c r="C35" s="321"/>
      <c r="D35" s="321"/>
      <c r="E35" s="321"/>
      <c r="F35" s="321"/>
      <c r="G35" s="321"/>
    </row>
    <row r="36" spans="2:9" x14ac:dyDescent="0.25">
      <c r="B36" s="153"/>
      <c r="C36" s="153"/>
      <c r="D36" s="153"/>
      <c r="E36" s="153"/>
      <c r="F36" s="153"/>
      <c r="G36" s="153"/>
    </row>
    <row r="37" spans="2:9" x14ac:dyDescent="0.25">
      <c r="B37" s="13" t="s">
        <v>231</v>
      </c>
      <c r="C37" s="13" t="s">
        <v>40</v>
      </c>
      <c r="D37" s="13" t="s">
        <v>41</v>
      </c>
      <c r="E37" s="13" t="s">
        <v>42</v>
      </c>
      <c r="F37" s="13" t="s">
        <v>554</v>
      </c>
      <c r="G37" s="13" t="s">
        <v>43</v>
      </c>
      <c r="H37" s="13" t="s">
        <v>44</v>
      </c>
      <c r="I37" s="5"/>
    </row>
    <row r="38" spans="2:9" x14ac:dyDescent="0.25">
      <c r="B38" s="14" t="s">
        <v>638</v>
      </c>
      <c r="C38" s="21">
        <v>1</v>
      </c>
      <c r="D38" s="14" t="s">
        <v>230</v>
      </c>
      <c r="E38" s="49">
        <f>+Parámetros!D11</f>
        <v>11508889</v>
      </c>
      <c r="F38" s="206">
        <v>0.3</v>
      </c>
      <c r="G38" s="23">
        <v>11</v>
      </c>
      <c r="H38" s="57">
        <f>E38*G38*F38*C38</f>
        <v>37979333.699999996</v>
      </c>
      <c r="I38" s="28"/>
    </row>
    <row r="39" spans="2:9" x14ac:dyDescent="0.25">
      <c r="B39" s="14" t="s">
        <v>323</v>
      </c>
      <c r="C39" s="21">
        <v>3</v>
      </c>
      <c r="D39" s="14" t="s">
        <v>230</v>
      </c>
      <c r="E39" s="49">
        <f>+Parámetros!D14</f>
        <v>7017615</v>
      </c>
      <c r="F39" s="118"/>
      <c r="G39" s="23">
        <v>11</v>
      </c>
      <c r="H39" s="57">
        <f>+C39*E39*G39</f>
        <v>231581295</v>
      </c>
      <c r="I39" s="28"/>
    </row>
    <row r="40" spans="2:9" ht="24" x14ac:dyDescent="0.25">
      <c r="B40" s="56" t="s">
        <v>198</v>
      </c>
      <c r="C40" s="21"/>
      <c r="D40" s="14"/>
      <c r="E40" s="49"/>
      <c r="F40" s="49"/>
      <c r="G40" s="23"/>
      <c r="H40" s="53" t="str">
        <f>+Parámetros!C4</f>
        <v>Presupuesto relativo</v>
      </c>
      <c r="I40" s="5"/>
    </row>
    <row r="41" spans="2:9" x14ac:dyDescent="0.25">
      <c r="B41" s="203" t="s">
        <v>234</v>
      </c>
      <c r="C41" s="204"/>
      <c r="D41" s="204"/>
      <c r="E41" s="204"/>
      <c r="F41" s="204"/>
      <c r="G41" s="205"/>
      <c r="H41" s="26">
        <f>SUM(H38:H40)</f>
        <v>269560628.69999999</v>
      </c>
      <c r="I41" s="5"/>
    </row>
    <row r="42" spans="2:9" ht="15" customHeight="1" x14ac:dyDescent="0.25">
      <c r="B42" s="301" t="s">
        <v>578</v>
      </c>
      <c r="C42" s="301"/>
      <c r="D42" s="301"/>
      <c r="E42" s="301"/>
      <c r="F42" s="301"/>
      <c r="G42" s="301"/>
      <c r="H42" s="301"/>
    </row>
    <row r="43" spans="2:9" x14ac:dyDescent="0.25">
      <c r="B43" s="317"/>
      <c r="C43" s="317"/>
      <c r="D43" s="317"/>
      <c r="E43" s="317"/>
      <c r="F43" s="317"/>
      <c r="G43" s="317"/>
      <c r="H43" s="317"/>
    </row>
    <row r="44" spans="2:9" x14ac:dyDescent="0.25">
      <c r="B44" s="109"/>
      <c r="C44" s="109"/>
      <c r="D44" s="109"/>
      <c r="E44" s="109"/>
      <c r="F44" s="109"/>
      <c r="G44" s="110"/>
      <c r="H44" s="5"/>
    </row>
  </sheetData>
  <sheetProtection sheet="1" formatCells="0" formatColumns="0" formatRows="0" insertColumns="0" insertRows="0" insertHyperlinks="0" deleteColumns="0" deleteRows="0" sort="0" autoFilter="0" pivotTables="0"/>
  <mergeCells count="3">
    <mergeCell ref="B34:G35"/>
    <mergeCell ref="B23:G23"/>
    <mergeCell ref="B42:H43"/>
  </mergeCells>
  <pageMargins left="0.7" right="0.7" top="0.75" bottom="0.75" header="0.3" footer="0.3"/>
  <pageSetup orientation="portrait" r:id="rId1"/>
  <ignoredErrors>
    <ignoredError sqref="H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X41"/>
  <sheetViews>
    <sheetView workbookViewId="0">
      <selection activeCell="L17" sqref="L17"/>
    </sheetView>
  </sheetViews>
  <sheetFormatPr baseColWidth="10" defaultRowHeight="15" x14ac:dyDescent="0.25"/>
  <cols>
    <col min="1" max="1" width="5.140625" style="1" customWidth="1"/>
    <col min="2" max="2" width="49.5703125" style="1" customWidth="1"/>
    <col min="3" max="3" width="17.140625" style="1" customWidth="1"/>
    <col min="4" max="6" width="19.7109375" style="1" bestFit="1" customWidth="1"/>
    <col min="7" max="7" width="19.140625" style="1" customWidth="1"/>
    <col min="8" max="22" width="19.7109375" style="1" bestFit="1" customWidth="1"/>
    <col min="23" max="23" width="24"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detallado'!B16</f>
        <v>1.3. Abastecimiento del consumo de arroz blanco con producción nacional</v>
      </c>
    </row>
    <row r="7" spans="2:24" s="16" customFormat="1" ht="15" customHeight="1" x14ac:dyDescent="0.25">
      <c r="B7" s="11" t="s">
        <v>39</v>
      </c>
      <c r="C7" s="17" t="s">
        <v>38</v>
      </c>
      <c r="D7" s="11">
        <v>2020</v>
      </c>
      <c r="E7" s="84">
        <v>2021</v>
      </c>
      <c r="F7" s="84">
        <v>2022</v>
      </c>
      <c r="G7" s="84">
        <v>2023</v>
      </c>
      <c r="H7" s="84">
        <v>2024</v>
      </c>
      <c r="I7" s="84">
        <v>2025</v>
      </c>
      <c r="J7" s="84">
        <v>2026</v>
      </c>
      <c r="K7" s="84">
        <v>2027</v>
      </c>
      <c r="L7" s="84">
        <v>2028</v>
      </c>
      <c r="M7" s="84">
        <v>2029</v>
      </c>
      <c r="N7" s="84">
        <v>2030</v>
      </c>
      <c r="O7" s="84">
        <v>2031</v>
      </c>
      <c r="P7" s="84">
        <v>2032</v>
      </c>
      <c r="Q7" s="84">
        <v>2033</v>
      </c>
      <c r="R7" s="84">
        <v>2034</v>
      </c>
      <c r="S7" s="84">
        <v>2035</v>
      </c>
      <c r="T7" s="84">
        <v>2036</v>
      </c>
      <c r="U7" s="84">
        <v>2037</v>
      </c>
      <c r="V7" s="84">
        <v>2038</v>
      </c>
      <c r="W7" s="84" t="s">
        <v>234</v>
      </c>
    </row>
    <row r="8" spans="2:24" ht="36" x14ac:dyDescent="0.25">
      <c r="B8" s="18" t="str">
        <f>+'Presupuesto detallado'!B17</f>
        <v>1.3.1. Diseño e implementación de estrategias de consumo diferenciadas (arroz, arroz nacional, regional y local, subproductos)</v>
      </c>
      <c r="C8" s="19" t="s">
        <v>338</v>
      </c>
      <c r="D8" s="18"/>
      <c r="E8" s="20"/>
      <c r="F8" s="20"/>
      <c r="G8" s="158">
        <f>+G23</f>
        <v>223175722</v>
      </c>
      <c r="H8" s="53">
        <f>+G23</f>
        <v>223175722</v>
      </c>
      <c r="I8" s="53" t="s">
        <v>218</v>
      </c>
      <c r="J8" s="18"/>
      <c r="K8" s="18"/>
      <c r="L8" s="18" t="s">
        <v>218</v>
      </c>
      <c r="M8" s="53"/>
      <c r="N8" s="18"/>
      <c r="O8" s="18" t="s">
        <v>218</v>
      </c>
      <c r="P8" s="100"/>
      <c r="Q8" s="53"/>
      <c r="R8" s="18" t="s">
        <v>218</v>
      </c>
      <c r="S8" s="18"/>
      <c r="T8" s="53"/>
      <c r="U8" s="18" t="s">
        <v>218</v>
      </c>
      <c r="V8" s="18"/>
      <c r="W8" s="53">
        <f>SUM(D8:V8)</f>
        <v>446351444</v>
      </c>
    </row>
    <row r="9" spans="2:24" ht="24" x14ac:dyDescent="0.25">
      <c r="B9" s="18" t="str">
        <f>+'Presupuesto detallado'!B18</f>
        <v>1.3.2. Monitoreo de la producción nacional de arroz que garantice el abastecimiento del consumo nacional</v>
      </c>
      <c r="C9" s="19" t="s">
        <v>141</v>
      </c>
      <c r="D9" s="143"/>
      <c r="E9" s="140">
        <f>+H30</f>
        <v>87958667.399999991</v>
      </c>
      <c r="F9" s="140">
        <f>+H30</f>
        <v>87958667.399999991</v>
      </c>
      <c r="G9" s="140">
        <f t="shared" ref="G9:V9" si="0">+$H$31</f>
        <v>52800541.199999996</v>
      </c>
      <c r="H9" s="140">
        <f t="shared" si="0"/>
        <v>52800541.199999996</v>
      </c>
      <c r="I9" s="140">
        <f t="shared" si="0"/>
        <v>52800541.199999996</v>
      </c>
      <c r="J9" s="140">
        <f t="shared" si="0"/>
        <v>52800541.199999996</v>
      </c>
      <c r="K9" s="140">
        <f t="shared" si="0"/>
        <v>52800541.199999996</v>
      </c>
      <c r="L9" s="140">
        <f t="shared" si="0"/>
        <v>52800541.199999996</v>
      </c>
      <c r="M9" s="140">
        <f t="shared" si="0"/>
        <v>52800541.199999996</v>
      </c>
      <c r="N9" s="140">
        <f t="shared" si="0"/>
        <v>52800541.199999996</v>
      </c>
      <c r="O9" s="140">
        <f t="shared" si="0"/>
        <v>52800541.199999996</v>
      </c>
      <c r="P9" s="140">
        <f t="shared" si="0"/>
        <v>52800541.199999996</v>
      </c>
      <c r="Q9" s="140">
        <f t="shared" si="0"/>
        <v>52800541.199999996</v>
      </c>
      <c r="R9" s="140">
        <f t="shared" si="0"/>
        <v>52800541.199999996</v>
      </c>
      <c r="S9" s="140">
        <f t="shared" si="0"/>
        <v>52800541.199999996</v>
      </c>
      <c r="T9" s="140">
        <f t="shared" si="0"/>
        <v>52800541.199999996</v>
      </c>
      <c r="U9" s="140">
        <f t="shared" si="0"/>
        <v>52800541.199999996</v>
      </c>
      <c r="V9" s="140">
        <f t="shared" si="0"/>
        <v>52800541.199999996</v>
      </c>
      <c r="W9" s="53">
        <f>SUM(D9:V9)</f>
        <v>1020725994.0000004</v>
      </c>
    </row>
    <row r="10" spans="2:24" ht="28.5" customHeight="1" x14ac:dyDescent="0.25">
      <c r="B10" s="18" t="str">
        <f>+'Presupuesto detallado'!B19</f>
        <v>1.3.3. Fortalecimiento de acciones para evitar el contrabando de arroz</v>
      </c>
      <c r="C10" s="19" t="s">
        <v>119</v>
      </c>
      <c r="D10" s="18"/>
      <c r="E10" s="140">
        <f>+H40</f>
        <v>53858814</v>
      </c>
      <c r="F10" s="53">
        <f>+H40</f>
        <v>53858814</v>
      </c>
      <c r="G10" s="53" t="str">
        <f t="shared" ref="G10:V10" si="1">+$H$39</f>
        <v>Presupuesto Relativo</v>
      </c>
      <c r="H10" s="53" t="str">
        <f t="shared" si="1"/>
        <v>Presupuesto Relativo</v>
      </c>
      <c r="I10" s="53" t="str">
        <f t="shared" si="1"/>
        <v>Presupuesto Relativo</v>
      </c>
      <c r="J10" s="53" t="str">
        <f t="shared" si="1"/>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107717628</v>
      </c>
    </row>
    <row r="11" spans="2:24" x14ac:dyDescent="0.25">
      <c r="W11" s="150">
        <f>SUM(W8:W10)</f>
        <v>1574795066.0000005</v>
      </c>
    </row>
    <row r="12" spans="2:24" x14ac:dyDescent="0.25">
      <c r="B12" s="84" t="s">
        <v>235</v>
      </c>
      <c r="C12" s="84" t="s">
        <v>40</v>
      </c>
      <c r="D12" s="84" t="s">
        <v>41</v>
      </c>
      <c r="E12" s="84" t="s">
        <v>42</v>
      </c>
      <c r="F12" s="84" t="s">
        <v>43</v>
      </c>
      <c r="G12" s="84" t="s">
        <v>44</v>
      </c>
      <c r="H12" s="5"/>
      <c r="W12" s="150">
        <f>+'Presupuesto detallado'!V16</f>
        <v>1574795066.0000005</v>
      </c>
    </row>
    <row r="13" spans="2:24" x14ac:dyDescent="0.25">
      <c r="B13" s="56" t="s">
        <v>305</v>
      </c>
      <c r="C13" s="55">
        <v>1</v>
      </c>
      <c r="D13" s="56" t="s">
        <v>230</v>
      </c>
      <c r="E13" s="57">
        <f>+Parámetros!D12</f>
        <v>10245720</v>
      </c>
      <c r="F13" s="80">
        <v>11</v>
      </c>
      <c r="G13" s="57">
        <f>E13*F13</f>
        <v>112702920</v>
      </c>
      <c r="H13" s="5"/>
      <c r="W13" s="201">
        <f>+W11-W12</f>
        <v>0</v>
      </c>
    </row>
    <row r="14" spans="2:24" x14ac:dyDescent="0.25">
      <c r="B14" s="56" t="s">
        <v>108</v>
      </c>
      <c r="C14" s="55">
        <v>6</v>
      </c>
      <c r="D14" s="18" t="s">
        <v>295</v>
      </c>
      <c r="E14" s="57">
        <v>1000000</v>
      </c>
      <c r="F14" s="80"/>
      <c r="G14" s="57">
        <f>+C14*E14</f>
        <v>6000000</v>
      </c>
      <c r="H14" s="28"/>
    </row>
    <row r="15" spans="2:24" x14ac:dyDescent="0.25">
      <c r="B15" s="56" t="s">
        <v>556</v>
      </c>
      <c r="C15" s="55">
        <v>18</v>
      </c>
      <c r="D15" s="56" t="s">
        <v>115</v>
      </c>
      <c r="E15" s="57">
        <f>+Parámetros!D22</f>
        <v>550252</v>
      </c>
      <c r="F15" s="80"/>
      <c r="G15" s="57">
        <f>+C15*E15</f>
        <v>9904536</v>
      </c>
      <c r="H15" s="5"/>
    </row>
    <row r="16" spans="2:24" x14ac:dyDescent="0.25">
      <c r="B16" s="56" t="s">
        <v>105</v>
      </c>
      <c r="C16" s="55">
        <v>2</v>
      </c>
      <c r="D16" s="56" t="s">
        <v>104</v>
      </c>
      <c r="E16" s="57">
        <v>3000000</v>
      </c>
      <c r="F16" s="80"/>
      <c r="G16" s="57">
        <f>+C16*E16</f>
        <v>6000000</v>
      </c>
      <c r="H16" s="5"/>
    </row>
    <row r="17" spans="2:9" x14ac:dyDescent="0.25">
      <c r="B17" s="56" t="s">
        <v>252</v>
      </c>
      <c r="C17" s="55">
        <v>2</v>
      </c>
      <c r="D17" s="56" t="s">
        <v>295</v>
      </c>
      <c r="E17" s="57">
        <f>+Parámetros!C33</f>
        <v>3000000</v>
      </c>
      <c r="F17" s="80"/>
      <c r="G17" s="57">
        <f>+C17*E17</f>
        <v>6000000</v>
      </c>
      <c r="H17" s="5"/>
    </row>
    <row r="18" spans="2:9" x14ac:dyDescent="0.25">
      <c r="B18" s="56" t="s">
        <v>134</v>
      </c>
      <c r="C18" s="55">
        <v>2</v>
      </c>
      <c r="D18" s="56" t="s">
        <v>195</v>
      </c>
      <c r="E18" s="57">
        <f>500*3.5*3300</f>
        <v>5775000</v>
      </c>
      <c r="F18" s="80"/>
      <c r="G18" s="57">
        <f>+C18*E18</f>
        <v>11550000</v>
      </c>
      <c r="H18" s="5"/>
    </row>
    <row r="19" spans="2:9" x14ac:dyDescent="0.25">
      <c r="B19" s="56" t="s">
        <v>299</v>
      </c>
      <c r="C19" s="55">
        <v>1</v>
      </c>
      <c r="D19" s="56" t="s">
        <v>100</v>
      </c>
      <c r="E19" s="57">
        <f>+Parámetros!D15</f>
        <v>6456206</v>
      </c>
      <c r="F19" s="80">
        <v>11</v>
      </c>
      <c r="G19" s="57">
        <f>+C19*E19*F19</f>
        <v>71018266</v>
      </c>
      <c r="H19" s="5"/>
    </row>
    <row r="20" spans="2:9" x14ac:dyDescent="0.25">
      <c r="B20" s="18" t="s">
        <v>236</v>
      </c>
      <c r="C20" s="112"/>
      <c r="D20" s="113"/>
      <c r="E20" s="114"/>
      <c r="F20" s="114"/>
      <c r="G20" s="111" t="s">
        <v>118</v>
      </c>
      <c r="H20" s="5"/>
    </row>
    <row r="21" spans="2:9" x14ac:dyDescent="0.25">
      <c r="B21" s="18" t="s">
        <v>237</v>
      </c>
      <c r="C21" s="112"/>
      <c r="D21" s="113"/>
      <c r="E21" s="114"/>
      <c r="F21" s="114"/>
      <c r="G21" s="111" t="s">
        <v>118</v>
      </c>
      <c r="H21" s="5"/>
    </row>
    <row r="22" spans="2:9" x14ac:dyDescent="0.25">
      <c r="B22" s="18" t="s">
        <v>238</v>
      </c>
      <c r="C22" s="112"/>
      <c r="D22" s="113"/>
      <c r="E22" s="114"/>
      <c r="F22" s="114"/>
      <c r="G22" s="111" t="s">
        <v>118</v>
      </c>
      <c r="H22" s="5"/>
    </row>
    <row r="23" spans="2:9" x14ac:dyDescent="0.25">
      <c r="B23" s="54"/>
      <c r="C23" s="112"/>
      <c r="D23" s="113"/>
      <c r="E23" s="114"/>
      <c r="F23" s="157" t="s">
        <v>234</v>
      </c>
      <c r="G23" s="135">
        <f>SUM(G13:G22)</f>
        <v>223175722</v>
      </c>
      <c r="H23" s="5"/>
    </row>
    <row r="24" spans="2:9" x14ac:dyDescent="0.25">
      <c r="B24" s="318"/>
      <c r="C24" s="323"/>
      <c r="D24" s="323"/>
      <c r="E24" s="323"/>
      <c r="F24" s="323"/>
      <c r="G24" s="323"/>
      <c r="H24" s="5"/>
    </row>
    <row r="25" spans="2:9" x14ac:dyDescent="0.25">
      <c r="B25" s="5"/>
      <c r="C25" s="5"/>
      <c r="D25" s="5"/>
      <c r="E25" s="5"/>
      <c r="F25" s="5"/>
      <c r="G25" s="5"/>
      <c r="H25" s="5"/>
    </row>
    <row r="26" spans="2:9" x14ac:dyDescent="0.25">
      <c r="B26" s="5"/>
      <c r="C26" s="5"/>
      <c r="D26" s="5"/>
      <c r="E26" s="5"/>
      <c r="F26" s="5"/>
      <c r="G26" s="5"/>
      <c r="H26" s="5"/>
    </row>
    <row r="27" spans="2:9" x14ac:dyDescent="0.25">
      <c r="B27" s="13" t="s">
        <v>239</v>
      </c>
      <c r="C27" s="13" t="s">
        <v>40</v>
      </c>
      <c r="D27" s="13" t="s">
        <v>41</v>
      </c>
      <c r="E27" s="13" t="s">
        <v>42</v>
      </c>
      <c r="F27" s="13" t="s">
        <v>43</v>
      </c>
      <c r="G27" s="13" t="s">
        <v>554</v>
      </c>
      <c r="H27" s="13" t="s">
        <v>44</v>
      </c>
    </row>
    <row r="28" spans="2:9" x14ac:dyDescent="0.25">
      <c r="B28" s="18" t="s">
        <v>191</v>
      </c>
      <c r="C28" s="55">
        <v>1</v>
      </c>
      <c r="D28" s="56" t="s">
        <v>230</v>
      </c>
      <c r="E28" s="57">
        <f>+Parámetros!D11</f>
        <v>11508889</v>
      </c>
      <c r="F28" s="80">
        <v>11</v>
      </c>
      <c r="G28" s="206">
        <v>0.6</v>
      </c>
      <c r="H28" s="57">
        <f>+C28*E28*F28*G28</f>
        <v>75958667.399999991</v>
      </c>
    </row>
    <row r="29" spans="2:9" x14ac:dyDescent="0.25">
      <c r="B29" s="14" t="s">
        <v>106</v>
      </c>
      <c r="C29" s="21">
        <v>4</v>
      </c>
      <c r="D29" s="14" t="s">
        <v>104</v>
      </c>
      <c r="E29" s="49">
        <v>3000000</v>
      </c>
      <c r="F29" s="23"/>
      <c r="G29" s="49"/>
      <c r="H29" s="49">
        <f>C29*E29</f>
        <v>12000000</v>
      </c>
    </row>
    <row r="30" spans="2:9" x14ac:dyDescent="0.25">
      <c r="B30" s="203" t="s">
        <v>234</v>
      </c>
      <c r="C30" s="204"/>
      <c r="D30" s="204"/>
      <c r="E30" s="204"/>
      <c r="F30" s="205"/>
      <c r="G30" s="204"/>
      <c r="H30" s="50">
        <f>SUM(H28:H29)</f>
        <v>87958667.399999991</v>
      </c>
    </row>
    <row r="31" spans="2:9" x14ac:dyDescent="0.25">
      <c r="B31" s="56" t="s">
        <v>555</v>
      </c>
      <c r="C31" s="21">
        <v>2</v>
      </c>
      <c r="D31" s="14" t="s">
        <v>100</v>
      </c>
      <c r="E31" s="49">
        <f>+Parámetros!D13</f>
        <v>8000082</v>
      </c>
      <c r="F31" s="23">
        <v>11</v>
      </c>
      <c r="G31" s="118">
        <v>0.3</v>
      </c>
      <c r="H31" s="49">
        <f>+C31*E31*F31*G31</f>
        <v>52800541.199999996</v>
      </c>
      <c r="I31" s="269"/>
    </row>
    <row r="32" spans="2:9" x14ac:dyDescent="0.25">
      <c r="B32" s="203" t="s">
        <v>234</v>
      </c>
      <c r="C32" s="204"/>
      <c r="D32" s="204"/>
      <c r="E32" s="204"/>
      <c r="F32" s="205"/>
      <c r="G32" s="204"/>
      <c r="H32" s="50">
        <f>SUM(H31)</f>
        <v>52800541.199999996</v>
      </c>
    </row>
    <row r="35" spans="2:8" x14ac:dyDescent="0.25">
      <c r="B35" s="13" t="s">
        <v>240</v>
      </c>
      <c r="C35" s="13" t="s">
        <v>40</v>
      </c>
      <c r="D35" s="13" t="s">
        <v>41</v>
      </c>
      <c r="E35" s="13" t="s">
        <v>42</v>
      </c>
      <c r="F35" s="13" t="s">
        <v>43</v>
      </c>
      <c r="G35" s="13" t="s">
        <v>554</v>
      </c>
      <c r="H35" s="13" t="s">
        <v>44</v>
      </c>
    </row>
    <row r="36" spans="2:8" x14ac:dyDescent="0.25">
      <c r="B36" s="14" t="s">
        <v>191</v>
      </c>
      <c r="C36" s="21">
        <v>1</v>
      </c>
      <c r="D36" s="14" t="s">
        <v>230</v>
      </c>
      <c r="E36" s="49">
        <f>+Parámetros!D12</f>
        <v>10245720</v>
      </c>
      <c r="F36" s="23">
        <v>11</v>
      </c>
      <c r="G36" s="206">
        <v>0.4</v>
      </c>
      <c r="H36" s="49">
        <f>+C36*E36*F36*G36</f>
        <v>45081168</v>
      </c>
    </row>
    <row r="37" spans="2:8" x14ac:dyDescent="0.25">
      <c r="B37" s="14" t="s">
        <v>193</v>
      </c>
      <c r="C37" s="21">
        <v>3</v>
      </c>
      <c r="D37" s="14" t="s">
        <v>194</v>
      </c>
      <c r="E37" s="49">
        <f>+Parámetros!C32</f>
        <v>1000000</v>
      </c>
      <c r="F37" s="23"/>
      <c r="G37" s="49"/>
      <c r="H37" s="49">
        <f>+C37*E37</f>
        <v>3000000</v>
      </c>
    </row>
    <row r="38" spans="2:8" x14ac:dyDescent="0.25">
      <c r="B38" s="14" t="s">
        <v>45</v>
      </c>
      <c r="C38" s="21">
        <v>3</v>
      </c>
      <c r="D38" s="14" t="s">
        <v>195</v>
      </c>
      <c r="E38" s="49">
        <f>+Parámetros!F22</f>
        <v>1925882</v>
      </c>
      <c r="F38" s="23"/>
      <c r="G38" s="204"/>
      <c r="H38" s="49">
        <f>+C38*E38</f>
        <v>5777646</v>
      </c>
    </row>
    <row r="39" spans="2:8" x14ac:dyDescent="0.25">
      <c r="B39" s="56" t="s">
        <v>241</v>
      </c>
      <c r="C39" s="21"/>
      <c r="D39" s="14"/>
      <c r="E39" s="22"/>
      <c r="F39" s="23"/>
      <c r="G39" s="118"/>
      <c r="H39" s="97" t="s">
        <v>218</v>
      </c>
    </row>
    <row r="40" spans="2:8" x14ac:dyDescent="0.25">
      <c r="B40" s="292" t="s">
        <v>234</v>
      </c>
      <c r="C40" s="293"/>
      <c r="D40" s="293"/>
      <c r="E40" s="293"/>
      <c r="F40" s="294"/>
      <c r="G40" s="204"/>
      <c r="H40" s="50">
        <f>SUM(H36:H39)</f>
        <v>53858814</v>
      </c>
    </row>
    <row r="41" spans="2:8" x14ac:dyDescent="0.25">
      <c r="B41" s="5"/>
    </row>
  </sheetData>
  <sheetProtection sheet="1" formatCells="0" formatColumns="0" formatRows="0" insertColumns="0" insertRows="0" insertHyperlinks="0" deleteColumns="0" deleteRows="0" sort="0" autoFilter="0" pivotTables="0"/>
  <mergeCells count="2">
    <mergeCell ref="B24:G24"/>
    <mergeCell ref="B40:F4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Y57"/>
  <sheetViews>
    <sheetView zoomScaleNormal="100" workbookViewId="0">
      <selection activeCell="F17" sqref="F17"/>
    </sheetView>
  </sheetViews>
  <sheetFormatPr baseColWidth="10" defaultRowHeight="15" x14ac:dyDescent="0.25"/>
  <cols>
    <col min="1" max="1" width="5.140625" style="1" customWidth="1"/>
    <col min="2" max="2" width="45.7109375" style="1" customWidth="1"/>
    <col min="3" max="3" width="16.5703125" style="1" customWidth="1"/>
    <col min="4" max="4" width="17.140625" style="1" customWidth="1"/>
    <col min="5" max="5" width="11.5703125" style="1" bestFit="1" customWidth="1"/>
    <col min="6" max="6" width="15" style="1" bestFit="1" customWidth="1"/>
    <col min="7" max="7" width="14.42578125" style="1" bestFit="1" customWidth="1"/>
    <col min="8" max="8" width="19.7109375" style="1" customWidth="1"/>
    <col min="9" max="9" width="15.140625" style="1" bestFit="1" customWidth="1"/>
    <col min="10" max="10" width="14" style="1" bestFit="1" customWidth="1"/>
    <col min="11" max="11" width="14.42578125" style="1" bestFit="1" customWidth="1"/>
    <col min="12" max="12" width="14" style="1" bestFit="1" customWidth="1"/>
    <col min="13" max="14" width="14.42578125" style="1" bestFit="1" customWidth="1"/>
    <col min="15" max="16" width="14" style="1" bestFit="1" customWidth="1"/>
    <col min="17" max="18" width="14.42578125" style="1" bestFit="1" customWidth="1"/>
    <col min="19" max="19" width="14" style="1" bestFit="1" customWidth="1"/>
    <col min="20" max="20" width="14.42578125" style="1" bestFit="1" customWidth="1"/>
    <col min="21" max="22" width="14" style="1" bestFit="1" customWidth="1"/>
    <col min="23" max="23" width="15.5703125" style="1" bestFit="1" customWidth="1"/>
    <col min="24" max="24" width="16.85546875" style="1" customWidth="1"/>
    <col min="25" max="16384" width="11.42578125" style="1"/>
  </cols>
  <sheetData>
    <row r="2" spans="2:25" x14ac:dyDescent="0.25">
      <c r="B2" s="99" t="s">
        <v>1</v>
      </c>
      <c r="C2" s="99"/>
      <c r="D2" s="99"/>
      <c r="E2" s="99"/>
      <c r="F2" s="99"/>
      <c r="G2" s="99"/>
      <c r="H2" s="99"/>
      <c r="I2" s="99"/>
      <c r="J2" s="99"/>
      <c r="K2" s="99"/>
      <c r="L2" s="99"/>
      <c r="M2" s="99"/>
      <c r="N2" s="99"/>
      <c r="O2" s="99"/>
      <c r="P2" s="99"/>
      <c r="Q2" s="99"/>
      <c r="R2" s="99"/>
      <c r="S2" s="99"/>
      <c r="T2" s="99"/>
      <c r="U2" s="99"/>
      <c r="V2" s="99"/>
      <c r="W2" s="99"/>
      <c r="X2" s="99"/>
      <c r="Y2" s="99"/>
    </row>
    <row r="4" spans="2:25" x14ac:dyDescent="0.25">
      <c r="B4" s="15" t="str">
        <f>+'Presupuesto detallado'!B5</f>
        <v>PROGRAMA 1. Productividad y mercados eficientes</v>
      </c>
      <c r="C4" s="15"/>
    </row>
    <row r="5" spans="2:25" x14ac:dyDescent="0.25">
      <c r="B5" s="15" t="str">
        <f>+'Presupuesto detallado'!B20</f>
        <v>1.4 Consolidación de mecanismos y canales de comercialización, a lo largo de la cadena de arroz</v>
      </c>
      <c r="C5" s="15"/>
    </row>
    <row r="7" spans="2:25" s="16" customFormat="1" ht="30.75" customHeight="1" x14ac:dyDescent="0.25">
      <c r="B7" s="11" t="s">
        <v>39</v>
      </c>
      <c r="C7" s="136" t="s">
        <v>38</v>
      </c>
      <c r="D7" s="84">
        <v>2020</v>
      </c>
      <c r="E7" s="84">
        <v>2021</v>
      </c>
      <c r="F7" s="84">
        <v>2022</v>
      </c>
      <c r="G7" s="84">
        <v>2023</v>
      </c>
      <c r="H7" s="84">
        <v>2024</v>
      </c>
      <c r="I7" s="84">
        <v>2025</v>
      </c>
      <c r="J7" s="84">
        <v>2026</v>
      </c>
      <c r="K7" s="84">
        <v>2027</v>
      </c>
      <c r="L7" s="84">
        <v>2028</v>
      </c>
      <c r="M7" s="84">
        <v>2029</v>
      </c>
      <c r="N7" s="84">
        <v>2030</v>
      </c>
      <c r="O7" s="84">
        <v>2031</v>
      </c>
      <c r="P7" s="84">
        <v>2032</v>
      </c>
      <c r="Q7" s="84">
        <v>2033</v>
      </c>
      <c r="R7" s="84">
        <v>2034</v>
      </c>
      <c r="S7" s="84">
        <v>2035</v>
      </c>
      <c r="T7" s="84">
        <v>2036</v>
      </c>
      <c r="U7" s="84">
        <v>2037</v>
      </c>
      <c r="V7" s="84">
        <v>2038</v>
      </c>
      <c r="W7" s="84" t="s">
        <v>234</v>
      </c>
    </row>
    <row r="8" spans="2:25" ht="36" x14ac:dyDescent="0.25">
      <c r="B8" s="18" t="str">
        <f>+'Presupuesto detallado'!B21</f>
        <v>1.4.1. Identificación y seguimiento de la oferta de productos de calidad, inocuos y de valor agregado de arroz</v>
      </c>
      <c r="C8" s="19" t="s">
        <v>150</v>
      </c>
      <c r="D8" s="56"/>
      <c r="E8" s="116"/>
      <c r="F8" s="116"/>
      <c r="G8" s="116">
        <f>+H19</f>
        <v>116628802</v>
      </c>
      <c r="H8" s="116">
        <f>H19</f>
        <v>116628802</v>
      </c>
      <c r="I8" s="117">
        <f>+H19</f>
        <v>116628802</v>
      </c>
      <c r="J8" s="117">
        <f>+$H$15</f>
        <v>112702920</v>
      </c>
      <c r="K8" s="117">
        <f t="shared" ref="K8:U8" si="0">+$H$15</f>
        <v>112702920</v>
      </c>
      <c r="L8" s="117">
        <f t="shared" si="0"/>
        <v>112702920</v>
      </c>
      <c r="M8" s="117">
        <f t="shared" si="0"/>
        <v>112702920</v>
      </c>
      <c r="N8" s="117">
        <f t="shared" si="0"/>
        <v>112702920</v>
      </c>
      <c r="O8" s="117">
        <f t="shared" si="0"/>
        <v>112702920</v>
      </c>
      <c r="P8" s="117">
        <f t="shared" si="0"/>
        <v>112702920</v>
      </c>
      <c r="Q8" s="117">
        <f t="shared" si="0"/>
        <v>112702920</v>
      </c>
      <c r="R8" s="117">
        <f t="shared" si="0"/>
        <v>112702920</v>
      </c>
      <c r="S8" s="117">
        <f t="shared" si="0"/>
        <v>112702920</v>
      </c>
      <c r="T8" s="117">
        <f t="shared" si="0"/>
        <v>112702920</v>
      </c>
      <c r="U8" s="117">
        <f t="shared" si="0"/>
        <v>112702920</v>
      </c>
      <c r="V8" s="117">
        <f>+$H$15</f>
        <v>112702920</v>
      </c>
      <c r="W8" s="116">
        <f>SUM(D8:V8)</f>
        <v>1815024366</v>
      </c>
    </row>
    <row r="9" spans="2:25" ht="48" x14ac:dyDescent="0.25">
      <c r="B9" s="18" t="str">
        <f>+'Presupuesto detallado'!B22</f>
        <v>1.4.2. Desarrollo de economías de escala, a través de modelos asociativos y de cooperación que faciliten la comercialización de insumos, arroz, subproductos y derivados, en mayores cantidades</v>
      </c>
      <c r="C9" s="19" t="s">
        <v>142</v>
      </c>
      <c r="D9" s="56"/>
      <c r="E9" s="56"/>
      <c r="F9" s="116"/>
      <c r="G9" s="116"/>
      <c r="H9" s="116">
        <f>+I29</f>
        <v>139753224</v>
      </c>
      <c r="I9" s="117">
        <f>+I29</f>
        <v>139753224</v>
      </c>
      <c r="J9" s="117">
        <f>+I29</f>
        <v>139753224</v>
      </c>
      <c r="K9" s="117" t="str">
        <f t="shared" ref="K9:V9" si="1">+$I$28</f>
        <v>Presupuesto relativo</v>
      </c>
      <c r="L9" s="117" t="str">
        <f t="shared" si="1"/>
        <v>Presupuesto relativo</v>
      </c>
      <c r="M9" s="117" t="str">
        <f t="shared" si="1"/>
        <v>Presupuesto relativo</v>
      </c>
      <c r="N9" s="117" t="str">
        <f t="shared" si="1"/>
        <v>Presupuesto relativo</v>
      </c>
      <c r="O9" s="117" t="str">
        <f t="shared" si="1"/>
        <v>Presupuesto relativo</v>
      </c>
      <c r="P9" s="117" t="str">
        <f t="shared" si="1"/>
        <v>Presupuesto relativo</v>
      </c>
      <c r="Q9" s="117" t="str">
        <f t="shared" si="1"/>
        <v>Presupuesto relativo</v>
      </c>
      <c r="R9" s="117" t="str">
        <f t="shared" si="1"/>
        <v>Presupuesto relativo</v>
      </c>
      <c r="S9" s="117" t="str">
        <f t="shared" si="1"/>
        <v>Presupuesto relativo</v>
      </c>
      <c r="T9" s="117" t="str">
        <f t="shared" si="1"/>
        <v>Presupuesto relativo</v>
      </c>
      <c r="U9" s="117" t="str">
        <f t="shared" si="1"/>
        <v>Presupuesto relativo</v>
      </c>
      <c r="V9" s="117" t="str">
        <f t="shared" si="1"/>
        <v>Presupuesto relativo</v>
      </c>
      <c r="W9" s="116">
        <f>SUM(D9:V9)</f>
        <v>419259672</v>
      </c>
    </row>
    <row r="10" spans="2:25" ht="72" x14ac:dyDescent="0.25">
      <c r="B10" s="18" t="str">
        <f>+'Presupuesto detallado'!B23</f>
        <v>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v>
      </c>
      <c r="C10" s="19" t="s">
        <v>173</v>
      </c>
      <c r="D10" s="56"/>
      <c r="E10" s="116"/>
      <c r="F10" s="116"/>
      <c r="G10" s="116"/>
      <c r="H10" s="116">
        <f t="shared" ref="H10:Q10" si="2">$I$39</f>
        <v>549454380</v>
      </c>
      <c r="I10" s="116">
        <f t="shared" si="2"/>
        <v>549454380</v>
      </c>
      <c r="J10" s="116">
        <f t="shared" si="2"/>
        <v>549454380</v>
      </c>
      <c r="K10" s="116">
        <f t="shared" si="2"/>
        <v>549454380</v>
      </c>
      <c r="L10" s="116">
        <f t="shared" si="2"/>
        <v>549454380</v>
      </c>
      <c r="M10" s="116">
        <f t="shared" si="2"/>
        <v>549454380</v>
      </c>
      <c r="N10" s="116">
        <f t="shared" si="2"/>
        <v>549454380</v>
      </c>
      <c r="O10" s="116">
        <f t="shared" si="2"/>
        <v>549454380</v>
      </c>
      <c r="P10" s="116">
        <f t="shared" si="2"/>
        <v>549454380</v>
      </c>
      <c r="Q10" s="116">
        <f t="shared" si="2"/>
        <v>549454380</v>
      </c>
      <c r="R10" s="116"/>
      <c r="S10" s="116"/>
      <c r="T10" s="116"/>
      <c r="U10" s="116"/>
      <c r="V10" s="116"/>
      <c r="W10" s="116">
        <f>SUM(D10:V10)</f>
        <v>5494543800</v>
      </c>
    </row>
    <row r="11" spans="2:25" ht="48" x14ac:dyDescent="0.25">
      <c r="B11" s="18" t="str">
        <f>+'Presupuesto detallado'!B24</f>
        <v xml:space="preserve">1.4.4. Elaboración de estudios de mercado, para identificar nichos, productos y mercados diferenciados (arroces criollos, subproductos y derivados del arroz, otros usos del arroz, marcas regionales) </v>
      </c>
      <c r="C11" s="19" t="s">
        <v>344</v>
      </c>
      <c r="D11" s="56"/>
      <c r="E11" s="56"/>
      <c r="F11" s="116"/>
      <c r="G11" s="116"/>
      <c r="H11" s="127">
        <f>+H49</f>
        <v>353336628</v>
      </c>
      <c r="I11" s="127">
        <f>+H49</f>
        <v>353336628</v>
      </c>
      <c r="J11" s="56"/>
      <c r="K11" s="116"/>
      <c r="L11" s="116"/>
      <c r="M11" s="127">
        <f>+H49</f>
        <v>353336628</v>
      </c>
      <c r="N11" s="56"/>
      <c r="O11" s="116"/>
      <c r="P11" s="56"/>
      <c r="Q11" s="116">
        <f>+H49</f>
        <v>353336628</v>
      </c>
      <c r="R11" s="56"/>
      <c r="S11" s="116"/>
      <c r="T11" s="56"/>
      <c r="U11" s="127">
        <f>+H49</f>
        <v>353336628</v>
      </c>
      <c r="V11" s="116"/>
      <c r="W11" s="116">
        <f>SUM(D11:V11)</f>
        <v>1766683140</v>
      </c>
    </row>
    <row r="12" spans="2:25" ht="24" x14ac:dyDescent="0.25">
      <c r="B12" s="18" t="str">
        <f>+'Presupuesto detallado'!B25</f>
        <v>1.4.5. Incursión y posicionamiento de productos y subproductos de arroz en el mercado internacional</v>
      </c>
      <c r="C12" s="19" t="s">
        <v>345</v>
      </c>
      <c r="D12" s="56"/>
      <c r="E12" s="56"/>
      <c r="F12" s="56"/>
      <c r="G12" s="56"/>
      <c r="H12" s="56"/>
      <c r="I12" s="56"/>
      <c r="J12" s="116">
        <f>+H57</f>
        <v>115893765</v>
      </c>
      <c r="K12" s="116">
        <f>+H57</f>
        <v>115893765</v>
      </c>
      <c r="L12" s="116">
        <f>H57</f>
        <v>115893765</v>
      </c>
      <c r="M12" s="148" t="str">
        <f t="shared" ref="M12:V12" si="3">+$H$56</f>
        <v>Presupuesto relativo</v>
      </c>
      <c r="N12" s="148" t="str">
        <f t="shared" si="3"/>
        <v>Presupuesto relativo</v>
      </c>
      <c r="O12" s="148" t="str">
        <f t="shared" si="3"/>
        <v>Presupuesto relativo</v>
      </c>
      <c r="P12" s="148" t="str">
        <f t="shared" si="3"/>
        <v>Presupuesto relativo</v>
      </c>
      <c r="Q12" s="148" t="str">
        <f t="shared" si="3"/>
        <v>Presupuesto relativo</v>
      </c>
      <c r="R12" s="148" t="str">
        <f t="shared" si="3"/>
        <v>Presupuesto relativo</v>
      </c>
      <c r="S12" s="148" t="str">
        <f t="shared" si="3"/>
        <v>Presupuesto relativo</v>
      </c>
      <c r="T12" s="148" t="str">
        <f t="shared" si="3"/>
        <v>Presupuesto relativo</v>
      </c>
      <c r="U12" s="148" t="str">
        <f t="shared" si="3"/>
        <v>Presupuesto relativo</v>
      </c>
      <c r="V12" s="148" t="str">
        <f t="shared" si="3"/>
        <v>Presupuesto relativo</v>
      </c>
      <c r="W12" s="116">
        <f>SUM(D12:V12)</f>
        <v>347681295</v>
      </c>
    </row>
    <row r="13" spans="2:25" ht="24" customHeight="1" x14ac:dyDescent="0.25">
      <c r="W13" s="156">
        <f>SUM(W8:W12)</f>
        <v>9843192273</v>
      </c>
    </row>
    <row r="14" spans="2:25" x14ac:dyDescent="0.25">
      <c r="B14" s="13" t="s">
        <v>242</v>
      </c>
      <c r="C14" s="13"/>
      <c r="D14" s="13" t="s">
        <v>40</v>
      </c>
      <c r="E14" s="13" t="s">
        <v>41</v>
      </c>
      <c r="F14" s="13" t="s">
        <v>42</v>
      </c>
      <c r="G14" s="13" t="s">
        <v>43</v>
      </c>
      <c r="H14" s="13" t="s">
        <v>44</v>
      </c>
      <c r="I14" s="5"/>
      <c r="W14" s="156">
        <f>+'Presupuesto detallado'!V20</f>
        <v>9843192273</v>
      </c>
    </row>
    <row r="15" spans="2:25" x14ac:dyDescent="0.25">
      <c r="B15" s="14" t="s">
        <v>601</v>
      </c>
      <c r="C15" s="14"/>
      <c r="D15" s="21">
        <v>1</v>
      </c>
      <c r="E15" s="14" t="s">
        <v>230</v>
      </c>
      <c r="F15" s="121">
        <f>+Parámetros!D12</f>
        <v>10245720</v>
      </c>
      <c r="G15" s="23">
        <v>11</v>
      </c>
      <c r="H15" s="121">
        <f>F15*G15</f>
        <v>112702920</v>
      </c>
      <c r="I15" s="5"/>
      <c r="W15" s="220">
        <f>+W13-W14</f>
        <v>0</v>
      </c>
    </row>
    <row r="16" spans="2:25" x14ac:dyDescent="0.25">
      <c r="B16" s="56" t="s">
        <v>193</v>
      </c>
      <c r="C16" s="14"/>
      <c r="D16" s="21">
        <v>2</v>
      </c>
      <c r="E16" s="54" t="s">
        <v>194</v>
      </c>
      <c r="F16" s="121">
        <f>+Parámetros!C32</f>
        <v>1000000</v>
      </c>
      <c r="G16" s="23"/>
      <c r="H16" s="121">
        <f>D16*F16</f>
        <v>2000000</v>
      </c>
      <c r="I16" s="5"/>
    </row>
    <row r="17" spans="2:9" x14ac:dyDescent="0.25">
      <c r="B17" s="14" t="s">
        <v>45</v>
      </c>
      <c r="C17" s="14"/>
      <c r="D17" s="21">
        <v>1</v>
      </c>
      <c r="E17" s="54" t="s">
        <v>195</v>
      </c>
      <c r="F17" s="121">
        <f>+Parámetros!F22</f>
        <v>1925882</v>
      </c>
      <c r="G17" s="23"/>
      <c r="H17" s="121">
        <f>D17*F17</f>
        <v>1925882</v>
      </c>
      <c r="I17" s="5"/>
    </row>
    <row r="18" spans="2:9" ht="24.75" x14ac:dyDescent="0.25">
      <c r="B18" s="54" t="s">
        <v>243</v>
      </c>
      <c r="C18" s="54"/>
      <c r="D18" s="21"/>
      <c r="E18" s="14"/>
      <c r="F18" s="22"/>
      <c r="G18" s="23"/>
      <c r="H18" s="98" t="s">
        <v>118</v>
      </c>
      <c r="I18" s="28"/>
    </row>
    <row r="19" spans="2:9" x14ac:dyDescent="0.25">
      <c r="B19" s="161" t="s">
        <v>46</v>
      </c>
      <c r="C19" s="161"/>
      <c r="D19" s="25"/>
      <c r="E19" s="14"/>
      <c r="F19" s="13"/>
      <c r="G19" s="13"/>
      <c r="H19" s="26">
        <f>SUM(H15:H18)</f>
        <v>116628802</v>
      </c>
      <c r="I19" s="5"/>
    </row>
    <row r="20" spans="2:9" x14ac:dyDescent="0.25">
      <c r="B20" s="5"/>
      <c r="C20" s="5"/>
      <c r="D20" s="5"/>
      <c r="E20" s="5"/>
      <c r="F20" s="5"/>
      <c r="G20" s="5"/>
      <c r="H20" s="5"/>
      <c r="I20" s="5"/>
    </row>
    <row r="21" spans="2:9" x14ac:dyDescent="0.25">
      <c r="B21" s="13" t="s">
        <v>244</v>
      </c>
      <c r="C21" s="13"/>
      <c r="D21" s="13" t="s">
        <v>40</v>
      </c>
      <c r="E21" s="13" t="s">
        <v>41</v>
      </c>
      <c r="F21" s="13" t="s">
        <v>42</v>
      </c>
      <c r="G21" s="13" t="s">
        <v>554</v>
      </c>
      <c r="H21" s="13" t="s">
        <v>43</v>
      </c>
      <c r="I21" s="13" t="s">
        <v>44</v>
      </c>
    </row>
    <row r="22" spans="2:9" x14ac:dyDescent="0.25">
      <c r="B22" s="14" t="s">
        <v>600</v>
      </c>
      <c r="C22" s="14"/>
      <c r="D22" s="21">
        <v>1</v>
      </c>
      <c r="E22" s="14" t="s">
        <v>230</v>
      </c>
      <c r="F22" s="121">
        <f>+Parámetros!D12</f>
        <v>10245720</v>
      </c>
      <c r="G22" s="118">
        <v>0.5</v>
      </c>
      <c r="H22" s="23">
        <v>11</v>
      </c>
      <c r="I22" s="121">
        <f>F22*H22*G22*D22</f>
        <v>56351460</v>
      </c>
    </row>
    <row r="23" spans="2:9" x14ac:dyDescent="0.25">
      <c r="B23" s="14" t="s">
        <v>245</v>
      </c>
      <c r="C23" s="14"/>
      <c r="D23" s="21">
        <v>2</v>
      </c>
      <c r="E23" s="54" t="s">
        <v>195</v>
      </c>
      <c r="F23" s="121">
        <f>500*3.5*3300</f>
        <v>5775000</v>
      </c>
      <c r="G23" s="121"/>
      <c r="H23" s="115"/>
      <c r="I23" s="121">
        <f>D23*F23</f>
        <v>11550000</v>
      </c>
    </row>
    <row r="24" spans="2:9" x14ac:dyDescent="0.25">
      <c r="B24" s="14" t="s">
        <v>313</v>
      </c>
      <c r="C24" s="14"/>
      <c r="D24" s="21">
        <v>2</v>
      </c>
      <c r="E24" s="54" t="s">
        <v>194</v>
      </c>
      <c r="F24" s="121">
        <f>+Parámetros!C33</f>
        <v>3000000</v>
      </c>
      <c r="G24" s="121"/>
      <c r="H24" s="115"/>
      <c r="I24" s="121">
        <f>D24*F24</f>
        <v>6000000</v>
      </c>
    </row>
    <row r="25" spans="2:9" x14ac:dyDescent="0.25">
      <c r="B25" s="14" t="s">
        <v>193</v>
      </c>
      <c r="C25" s="14"/>
      <c r="D25" s="21">
        <v>2</v>
      </c>
      <c r="E25" s="54" t="s">
        <v>194</v>
      </c>
      <c r="F25" s="121">
        <v>1000000</v>
      </c>
      <c r="G25" s="121"/>
      <c r="H25" s="23"/>
      <c r="I25" s="121">
        <f>D25*F25</f>
        <v>2000000</v>
      </c>
    </row>
    <row r="26" spans="2:9" x14ac:dyDescent="0.25">
      <c r="B26" s="14" t="s">
        <v>45</v>
      </c>
      <c r="C26" s="14"/>
      <c r="D26" s="21">
        <v>2</v>
      </c>
      <c r="E26" s="54" t="s">
        <v>195</v>
      </c>
      <c r="F26" s="121">
        <f>+Parámetros!F22</f>
        <v>1925882</v>
      </c>
      <c r="G26" s="121"/>
      <c r="H26" s="23"/>
      <c r="I26" s="121">
        <f>D26*F26</f>
        <v>3851764</v>
      </c>
    </row>
    <row r="27" spans="2:9" x14ac:dyDescent="0.25">
      <c r="B27" s="14" t="s">
        <v>205</v>
      </c>
      <c r="C27" s="14"/>
      <c r="D27" s="21">
        <v>3</v>
      </c>
      <c r="E27" s="54" t="s">
        <v>199</v>
      </c>
      <c r="F27" s="121">
        <v>20000000</v>
      </c>
      <c r="G27" s="121"/>
      <c r="H27" s="23"/>
      <c r="I27" s="121">
        <f>+D27*F27</f>
        <v>60000000</v>
      </c>
    </row>
    <row r="28" spans="2:9" ht="24" x14ac:dyDescent="0.25">
      <c r="B28" s="18" t="s">
        <v>246</v>
      </c>
      <c r="C28" s="18"/>
      <c r="D28" s="55"/>
      <c r="E28" s="56"/>
      <c r="F28" s="134"/>
      <c r="G28" s="134"/>
      <c r="H28" s="80"/>
      <c r="I28" s="98" t="s">
        <v>118</v>
      </c>
    </row>
    <row r="29" spans="2:9" x14ac:dyDescent="0.25">
      <c r="B29" s="203" t="s">
        <v>48</v>
      </c>
      <c r="C29" s="204"/>
      <c r="D29" s="204"/>
      <c r="E29" s="204"/>
      <c r="F29" s="204"/>
      <c r="G29" s="204"/>
      <c r="H29" s="205"/>
      <c r="I29" s="26">
        <f>SUM(I22:I28)</f>
        <v>139753224</v>
      </c>
    </row>
    <row r="31" spans="2:9" x14ac:dyDescent="0.25">
      <c r="B31" s="13" t="s">
        <v>247</v>
      </c>
      <c r="C31" s="13"/>
      <c r="D31" s="13" t="s">
        <v>40</v>
      </c>
      <c r="E31" s="13" t="s">
        <v>41</v>
      </c>
      <c r="F31" s="13" t="s">
        <v>42</v>
      </c>
      <c r="G31" s="13" t="s">
        <v>554</v>
      </c>
      <c r="H31" s="13" t="s">
        <v>43</v>
      </c>
      <c r="I31" s="13" t="s">
        <v>44</v>
      </c>
    </row>
    <row r="32" spans="2:9" x14ac:dyDescent="0.25">
      <c r="B32" s="14" t="s">
        <v>301</v>
      </c>
      <c r="C32" s="14"/>
      <c r="D32" s="21">
        <v>1</v>
      </c>
      <c r="E32" s="14" t="s">
        <v>230</v>
      </c>
      <c r="F32" s="121">
        <f>Parámetros!D12</f>
        <v>10245720</v>
      </c>
      <c r="G32" s="118">
        <v>0.5</v>
      </c>
      <c r="H32" s="23">
        <v>11</v>
      </c>
      <c r="I32" s="121">
        <f>F32*H32*G32*D32</f>
        <v>56351460</v>
      </c>
    </row>
    <row r="33" spans="2:11" x14ac:dyDescent="0.25">
      <c r="B33" s="14" t="s">
        <v>252</v>
      </c>
      <c r="C33" s="14"/>
      <c r="D33" s="21">
        <v>2</v>
      </c>
      <c r="E33" s="54" t="s">
        <v>202</v>
      </c>
      <c r="F33" s="121">
        <f>+Parámetros!C33</f>
        <v>3000000</v>
      </c>
      <c r="G33" s="121"/>
      <c r="H33" s="23"/>
      <c r="I33" s="121">
        <f>D33*F33</f>
        <v>6000000</v>
      </c>
    </row>
    <row r="34" spans="2:11" x14ac:dyDescent="0.25">
      <c r="B34" s="14" t="s">
        <v>248</v>
      </c>
      <c r="C34" s="14"/>
      <c r="D34" s="21">
        <v>2</v>
      </c>
      <c r="E34" s="14" t="s">
        <v>195</v>
      </c>
      <c r="F34" s="121">
        <f>500*3.5*3300</f>
        <v>5775000</v>
      </c>
      <c r="G34" s="121"/>
      <c r="H34" s="23"/>
      <c r="I34" s="121">
        <f>D34*F34</f>
        <v>11550000</v>
      </c>
    </row>
    <row r="35" spans="2:11" x14ac:dyDescent="0.25">
      <c r="B35" s="14" t="s">
        <v>193</v>
      </c>
      <c r="C35" s="14"/>
      <c r="D35" s="21">
        <v>20</v>
      </c>
      <c r="E35" s="54" t="s">
        <v>194</v>
      </c>
      <c r="F35" s="121">
        <v>1000000</v>
      </c>
      <c r="G35" s="121"/>
      <c r="H35" s="23"/>
      <c r="I35" s="121">
        <f>D35*F35</f>
        <v>20000000</v>
      </c>
    </row>
    <row r="36" spans="2:11" x14ac:dyDescent="0.25">
      <c r="B36" s="14" t="s">
        <v>45</v>
      </c>
      <c r="C36" s="14"/>
      <c r="D36" s="21">
        <f>20*3</f>
        <v>60</v>
      </c>
      <c r="E36" s="54" t="s">
        <v>553</v>
      </c>
      <c r="F36" s="121">
        <f>+Parámetros!F22</f>
        <v>1925882</v>
      </c>
      <c r="G36" s="121"/>
      <c r="H36" s="23"/>
      <c r="I36" s="121">
        <f>D36*F36</f>
        <v>115552920</v>
      </c>
    </row>
    <row r="37" spans="2:11" x14ac:dyDescent="0.25">
      <c r="B37" s="324" t="s">
        <v>602</v>
      </c>
      <c r="C37" s="18"/>
      <c r="D37" s="55">
        <v>10000</v>
      </c>
      <c r="E37" s="56" t="s">
        <v>603</v>
      </c>
      <c r="F37" s="159">
        <v>30000</v>
      </c>
      <c r="G37" s="159"/>
      <c r="H37" s="80"/>
      <c r="I37" s="159">
        <f>+D37*F37</f>
        <v>300000000</v>
      </c>
      <c r="K37" s="219"/>
    </row>
    <row r="38" spans="2:11" x14ac:dyDescent="0.25">
      <c r="B38" s="325"/>
      <c r="C38" s="18"/>
      <c r="D38" s="55">
        <v>20</v>
      </c>
      <c r="E38" s="56" t="s">
        <v>604</v>
      </c>
      <c r="F38" s="159">
        <v>2000000</v>
      </c>
      <c r="G38" s="159"/>
      <c r="H38" s="80"/>
      <c r="I38" s="159">
        <f>+D38*F38</f>
        <v>40000000</v>
      </c>
      <c r="K38" s="219"/>
    </row>
    <row r="39" spans="2:11" x14ac:dyDescent="0.25">
      <c r="B39" s="203" t="s">
        <v>234</v>
      </c>
      <c r="C39" s="204"/>
      <c r="D39" s="204"/>
      <c r="E39" s="204"/>
      <c r="F39" s="204"/>
      <c r="G39" s="204"/>
      <c r="H39" s="205"/>
      <c r="I39" s="26">
        <f>SUM(I32:I38)</f>
        <v>549454380</v>
      </c>
    </row>
    <row r="42" spans="2:11" x14ac:dyDescent="0.25">
      <c r="B42" s="13" t="s">
        <v>249</v>
      </c>
      <c r="C42" s="13"/>
      <c r="D42" s="13" t="s">
        <v>40</v>
      </c>
      <c r="E42" s="13" t="s">
        <v>41</v>
      </c>
      <c r="F42" s="13" t="s">
        <v>42</v>
      </c>
      <c r="G42" s="13" t="s">
        <v>43</v>
      </c>
      <c r="H42" s="13" t="s">
        <v>44</v>
      </c>
    </row>
    <row r="43" spans="2:11" x14ac:dyDescent="0.25">
      <c r="B43" s="14" t="s">
        <v>250</v>
      </c>
      <c r="C43" s="14"/>
      <c r="D43" s="21">
        <v>1</v>
      </c>
      <c r="E43" s="14" t="s">
        <v>100</v>
      </c>
      <c r="F43" s="121">
        <f>+Parámetros!D10</f>
        <v>14456289</v>
      </c>
      <c r="G43" s="23">
        <v>11</v>
      </c>
      <c r="H43" s="121">
        <f>F43*G43</f>
        <v>159019179</v>
      </c>
    </row>
    <row r="44" spans="2:11" x14ac:dyDescent="0.25">
      <c r="B44" s="14" t="s">
        <v>299</v>
      </c>
      <c r="C44" s="14"/>
      <c r="D44" s="21">
        <v>2</v>
      </c>
      <c r="E44" s="14" t="s">
        <v>251</v>
      </c>
      <c r="F44" s="121">
        <f>+Parámetros!D16</f>
        <v>5894797</v>
      </c>
      <c r="G44" s="23">
        <v>11</v>
      </c>
      <c r="H44" s="121">
        <f>+D44*F44*G44</f>
        <v>129685534</v>
      </c>
    </row>
    <row r="45" spans="2:11" x14ac:dyDescent="0.25">
      <c r="B45" s="14" t="s">
        <v>108</v>
      </c>
      <c r="C45" s="14"/>
      <c r="D45" s="21">
        <v>10</v>
      </c>
      <c r="E45" s="54" t="s">
        <v>109</v>
      </c>
      <c r="F45" s="121">
        <f>+Parámetros!C32</f>
        <v>1000000</v>
      </c>
      <c r="G45" s="23"/>
      <c r="H45" s="121">
        <f>D45*F45</f>
        <v>10000000</v>
      </c>
    </row>
    <row r="46" spans="2:11" x14ac:dyDescent="0.25">
      <c r="B46" s="14" t="s">
        <v>556</v>
      </c>
      <c r="C46" s="14"/>
      <c r="D46" s="21">
        <v>10</v>
      </c>
      <c r="E46" s="14" t="s">
        <v>195</v>
      </c>
      <c r="F46" s="121">
        <f>+Parámetros!F26</f>
        <v>1098191.5</v>
      </c>
      <c r="G46" s="23"/>
      <c r="H46" s="121">
        <f>D46*F46</f>
        <v>10981915</v>
      </c>
      <c r="I46" s="219"/>
    </row>
    <row r="47" spans="2:11" x14ac:dyDescent="0.25">
      <c r="B47" s="14" t="s">
        <v>252</v>
      </c>
      <c r="C47" s="14"/>
      <c r="D47" s="21">
        <v>3</v>
      </c>
      <c r="E47" s="14" t="s">
        <v>109</v>
      </c>
      <c r="F47" s="121">
        <f>+Parámetros!C33</f>
        <v>3000000</v>
      </c>
      <c r="G47" s="23"/>
      <c r="H47" s="121">
        <f>D47*F47</f>
        <v>9000000</v>
      </c>
    </row>
    <row r="48" spans="2:11" x14ac:dyDescent="0.25">
      <c r="B48" s="14" t="s">
        <v>134</v>
      </c>
      <c r="C48" s="14"/>
      <c r="D48" s="21">
        <v>6</v>
      </c>
      <c r="E48" s="14" t="s">
        <v>195</v>
      </c>
      <c r="F48" s="121">
        <f>500*3.5*3300</f>
        <v>5775000</v>
      </c>
      <c r="G48" s="23"/>
      <c r="H48" s="121">
        <f>+D48*F48</f>
        <v>34650000</v>
      </c>
    </row>
    <row r="49" spans="2:8" x14ac:dyDescent="0.25">
      <c r="B49" s="292" t="s">
        <v>234</v>
      </c>
      <c r="C49" s="293"/>
      <c r="D49" s="293"/>
      <c r="E49" s="293"/>
      <c r="F49" s="293"/>
      <c r="G49" s="294"/>
      <c r="H49" s="160">
        <f>SUM(H43:H48)</f>
        <v>353336628</v>
      </c>
    </row>
    <row r="52" spans="2:8" x14ac:dyDescent="0.25">
      <c r="B52" s="13" t="s">
        <v>253</v>
      </c>
      <c r="C52" s="13"/>
      <c r="D52" s="13" t="s">
        <v>40</v>
      </c>
      <c r="E52" s="13" t="s">
        <v>41</v>
      </c>
      <c r="F52" s="13" t="s">
        <v>42</v>
      </c>
      <c r="G52" s="13" t="s">
        <v>43</v>
      </c>
      <c r="H52" s="13" t="s">
        <v>44</v>
      </c>
    </row>
    <row r="53" spans="2:8" x14ac:dyDescent="0.25">
      <c r="B53" s="14" t="s">
        <v>296</v>
      </c>
      <c r="C53" s="14"/>
      <c r="D53" s="21">
        <v>1</v>
      </c>
      <c r="E53" s="14" t="s">
        <v>230</v>
      </c>
      <c r="F53" s="121">
        <f>Parámetros!D14</f>
        <v>7017615</v>
      </c>
      <c r="G53" s="23">
        <v>11</v>
      </c>
      <c r="H53" s="121">
        <f>F53*G53</f>
        <v>77193765</v>
      </c>
    </row>
    <row r="54" spans="2:8" x14ac:dyDescent="0.25">
      <c r="B54" s="14" t="s">
        <v>252</v>
      </c>
      <c r="C54" s="14"/>
      <c r="D54" s="21">
        <v>3</v>
      </c>
      <c r="E54" s="14" t="s">
        <v>194</v>
      </c>
      <c r="F54" s="121">
        <f>+Parámetros!C33</f>
        <v>3000000</v>
      </c>
      <c r="G54" s="121"/>
      <c r="H54" s="121">
        <f>+D54*F54</f>
        <v>9000000</v>
      </c>
    </row>
    <row r="55" spans="2:8" x14ac:dyDescent="0.25">
      <c r="B55" s="14" t="s">
        <v>45</v>
      </c>
      <c r="C55" s="14"/>
      <c r="D55" s="21">
        <v>18</v>
      </c>
      <c r="E55" s="14" t="s">
        <v>115</v>
      </c>
      <c r="F55" s="121">
        <f>500*3300</f>
        <v>1650000</v>
      </c>
      <c r="G55" s="121"/>
      <c r="H55" s="121">
        <f>+D55*F55</f>
        <v>29700000</v>
      </c>
    </row>
    <row r="56" spans="2:8" ht="24.75" x14ac:dyDescent="0.25">
      <c r="B56" s="54" t="s">
        <v>254</v>
      </c>
      <c r="C56" s="54"/>
      <c r="D56" s="21"/>
      <c r="E56" s="14"/>
      <c r="F56" s="22"/>
      <c r="G56" s="23"/>
      <c r="H56" s="134" t="s">
        <v>118</v>
      </c>
    </row>
    <row r="57" spans="2:8" x14ac:dyDescent="0.25">
      <c r="B57" s="292" t="s">
        <v>234</v>
      </c>
      <c r="C57" s="293"/>
      <c r="D57" s="293"/>
      <c r="E57" s="293"/>
      <c r="F57" s="293"/>
      <c r="G57" s="294"/>
      <c r="H57" s="26">
        <f>SUM(H53:H56)</f>
        <v>115893765</v>
      </c>
    </row>
  </sheetData>
  <sheetProtection sheet="1" formatCells="0" formatColumns="0" formatRows="0" insertColumns="0" insertRows="0" insertHyperlinks="0" deleteColumns="0" deleteRows="0" sort="0" autoFilter="0" pivotTables="0"/>
  <mergeCells count="3">
    <mergeCell ref="B49:G49"/>
    <mergeCell ref="B57:G57"/>
    <mergeCell ref="B37:B3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X2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7" style="1" bestFit="1" customWidth="1"/>
    <col min="6" max="6" width="16.7109375" style="1" bestFit="1" customWidth="1"/>
    <col min="7" max="7" width="19.42578125" style="1" bestFit="1" customWidth="1"/>
    <col min="8" max="8" width="15.7109375" style="1" customWidth="1"/>
    <col min="9" max="9" width="17.42578125" style="1" customWidth="1"/>
    <col min="10" max="10" width="17.7109375" style="1" customWidth="1"/>
    <col min="11" max="22" width="15.5703125" style="1" bestFit="1" customWidth="1"/>
    <col min="23" max="23" width="16.710937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detallado'!B26</f>
        <v>1.5. Fortalecimiento de los instrumentos de mercados, dirigidos al sector arrocero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72" x14ac:dyDescent="0.25">
      <c r="B8" s="18" t="str">
        <f>+'Presupuesto detallado'!B27</f>
        <v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v>
      </c>
      <c r="C8" s="19" t="s">
        <v>119</v>
      </c>
      <c r="D8" s="20"/>
      <c r="E8" s="117">
        <f>$G$15</f>
        <v>51505298889.5</v>
      </c>
      <c r="F8" s="117">
        <f t="shared" ref="F8:V8" si="0">$G$15</f>
        <v>51505298889.5</v>
      </c>
      <c r="G8" s="117">
        <f t="shared" si="0"/>
        <v>51505298889.5</v>
      </c>
      <c r="H8" s="117">
        <f t="shared" si="0"/>
        <v>51505298889.5</v>
      </c>
      <c r="I8" s="117">
        <f t="shared" si="0"/>
        <v>51505298889.5</v>
      </c>
      <c r="J8" s="117">
        <f t="shared" si="0"/>
        <v>51505298889.5</v>
      </c>
      <c r="K8" s="117">
        <f t="shared" si="0"/>
        <v>51505298889.5</v>
      </c>
      <c r="L8" s="117">
        <f t="shared" si="0"/>
        <v>51505298889.5</v>
      </c>
      <c r="M8" s="117">
        <f t="shared" si="0"/>
        <v>51505298889.5</v>
      </c>
      <c r="N8" s="117">
        <f t="shared" si="0"/>
        <v>51505298889.5</v>
      </c>
      <c r="O8" s="117">
        <f t="shared" si="0"/>
        <v>51505298889.5</v>
      </c>
      <c r="P8" s="117">
        <f t="shared" si="0"/>
        <v>51505298889.5</v>
      </c>
      <c r="Q8" s="117">
        <f t="shared" si="0"/>
        <v>51505298889.5</v>
      </c>
      <c r="R8" s="117">
        <f t="shared" si="0"/>
        <v>51505298889.5</v>
      </c>
      <c r="S8" s="117">
        <f t="shared" si="0"/>
        <v>51505298889.5</v>
      </c>
      <c r="T8" s="117">
        <f t="shared" si="0"/>
        <v>51505298889.5</v>
      </c>
      <c r="U8" s="117">
        <f t="shared" si="0"/>
        <v>51505298889.5</v>
      </c>
      <c r="V8" s="117">
        <f t="shared" si="0"/>
        <v>51505298889.5</v>
      </c>
      <c r="W8" s="117">
        <f>SUM(E8:V8)</f>
        <v>927095380011</v>
      </c>
    </row>
    <row r="9" spans="2:24" ht="72" x14ac:dyDescent="0.25">
      <c r="B9" s="18" t="str">
        <f>+'Presupuesto detallado'!B28</f>
        <v>1.5.2. Monitoreo y evaluación del comportamiento del mercado internacional así como de las importaciones de arroz, para que en el marco de las condiciones establecidas en los acuerdos comerciales vigentes, se puedan identificar las medidas que garanticen la competitividad</v>
      </c>
      <c r="C9" s="19" t="s">
        <v>150</v>
      </c>
      <c r="D9" s="20"/>
      <c r="E9" s="56"/>
      <c r="F9" s="56"/>
      <c r="G9" s="116">
        <f>+G26</f>
        <v>285819419.5</v>
      </c>
      <c r="H9" s="116">
        <f>+G26</f>
        <v>285819419.5</v>
      </c>
      <c r="I9" s="117">
        <f>G26</f>
        <v>285819419.5</v>
      </c>
      <c r="J9" s="116">
        <f>+$G$26</f>
        <v>285819419.5</v>
      </c>
      <c r="K9" s="116">
        <f t="shared" ref="K9:V9" si="1">+$G$26</f>
        <v>285819419.5</v>
      </c>
      <c r="L9" s="116">
        <f t="shared" si="1"/>
        <v>285819419.5</v>
      </c>
      <c r="M9" s="116">
        <f t="shared" si="1"/>
        <v>285819419.5</v>
      </c>
      <c r="N9" s="116">
        <f t="shared" si="1"/>
        <v>285819419.5</v>
      </c>
      <c r="O9" s="116">
        <f t="shared" si="1"/>
        <v>285819419.5</v>
      </c>
      <c r="P9" s="116">
        <f t="shared" si="1"/>
        <v>285819419.5</v>
      </c>
      <c r="Q9" s="116">
        <f t="shared" si="1"/>
        <v>285819419.5</v>
      </c>
      <c r="R9" s="116">
        <f t="shared" si="1"/>
        <v>285819419.5</v>
      </c>
      <c r="S9" s="116">
        <f t="shared" si="1"/>
        <v>285819419.5</v>
      </c>
      <c r="T9" s="116">
        <f t="shared" si="1"/>
        <v>285819419.5</v>
      </c>
      <c r="U9" s="116">
        <f t="shared" si="1"/>
        <v>285819419.5</v>
      </c>
      <c r="V9" s="116">
        <f t="shared" si="1"/>
        <v>285819419.5</v>
      </c>
      <c r="W9" s="117">
        <f>SUM(E9:V9)</f>
        <v>4573110712</v>
      </c>
    </row>
    <row r="10" spans="2:24" ht="24" customHeight="1" x14ac:dyDescent="0.25">
      <c r="W10" s="162">
        <f>SUM(W8:W9)</f>
        <v>931668490723</v>
      </c>
    </row>
    <row r="11" spans="2:24" x14ac:dyDescent="0.25">
      <c r="B11" s="13" t="s">
        <v>302</v>
      </c>
      <c r="C11" s="13" t="s">
        <v>40</v>
      </c>
      <c r="D11" s="13" t="s">
        <v>41</v>
      </c>
      <c r="E11" s="13" t="s">
        <v>42</v>
      </c>
      <c r="F11" s="13" t="s">
        <v>43</v>
      </c>
      <c r="G11" s="13" t="s">
        <v>44</v>
      </c>
      <c r="H11" s="5"/>
      <c r="W11" s="162">
        <f>+'Presupuesto detallado'!V26</f>
        <v>931668490723</v>
      </c>
    </row>
    <row r="12" spans="2:24" x14ac:dyDescent="0.25">
      <c r="B12" s="14" t="s">
        <v>745</v>
      </c>
      <c r="C12" s="21">
        <v>1</v>
      </c>
      <c r="D12" s="14" t="s">
        <v>230</v>
      </c>
      <c r="E12" s="121">
        <f>Parámetros!D11</f>
        <v>11508889</v>
      </c>
      <c r="F12" s="23">
        <v>11</v>
      </c>
      <c r="G12" s="121">
        <f>E12*F12*50%</f>
        <v>63298889.5</v>
      </c>
      <c r="H12" s="5"/>
      <c r="W12" s="221">
        <f>+W10-W11</f>
        <v>0</v>
      </c>
    </row>
    <row r="13" spans="2:24" x14ac:dyDescent="0.25">
      <c r="B13" s="14" t="s">
        <v>605</v>
      </c>
      <c r="C13" s="21">
        <v>1</v>
      </c>
      <c r="D13" s="14" t="s">
        <v>104</v>
      </c>
      <c r="E13" s="121">
        <v>51442000000</v>
      </c>
      <c r="F13" s="23"/>
      <c r="G13" s="121">
        <f>+C13*E13</f>
        <v>51442000000</v>
      </c>
      <c r="H13" s="272"/>
      <c r="K13" s="219"/>
    </row>
    <row r="14" spans="2:24" ht="25.5" customHeight="1" x14ac:dyDescent="0.25">
      <c r="B14" s="18" t="s">
        <v>606</v>
      </c>
      <c r="C14" s="55"/>
      <c r="D14" s="56"/>
      <c r="E14" s="134"/>
      <c r="F14" s="80"/>
      <c r="G14" s="134" t="s">
        <v>218</v>
      </c>
      <c r="H14" s="326"/>
      <c r="I14" s="327"/>
      <c r="J14" s="328"/>
      <c r="K14" s="328"/>
    </row>
    <row r="15" spans="2:24" x14ac:dyDescent="0.25">
      <c r="B15" s="161" t="s">
        <v>46</v>
      </c>
      <c r="C15" s="25"/>
      <c r="D15" s="14"/>
      <c r="E15" s="13"/>
      <c r="F15" s="13"/>
      <c r="G15" s="26">
        <f>SUM(G12:G14)</f>
        <v>51505298889.5</v>
      </c>
      <c r="H15" s="5"/>
    </row>
    <row r="16" spans="2:24" ht="26.25" customHeight="1" x14ac:dyDescent="0.25">
      <c r="B16" s="318" t="s">
        <v>744</v>
      </c>
      <c r="C16" s="318"/>
      <c r="D16" s="318"/>
      <c r="E16" s="318"/>
      <c r="F16" s="318"/>
      <c r="G16" s="318"/>
      <c r="H16" s="5"/>
    </row>
    <row r="17" spans="2:8" x14ac:dyDescent="0.25">
      <c r="B17" s="5"/>
      <c r="C17" s="5"/>
      <c r="D17" s="5"/>
      <c r="E17" s="5"/>
      <c r="F17" s="5"/>
      <c r="G17" s="5"/>
      <c r="H17" s="5"/>
    </row>
    <row r="18" spans="2:8" x14ac:dyDescent="0.25">
      <c r="B18" s="13" t="s">
        <v>348</v>
      </c>
      <c r="C18" s="13" t="s">
        <v>40</v>
      </c>
      <c r="D18" s="13" t="s">
        <v>41</v>
      </c>
      <c r="E18" s="13" t="s">
        <v>42</v>
      </c>
      <c r="F18" s="13" t="s">
        <v>43</v>
      </c>
      <c r="G18" s="13" t="s">
        <v>44</v>
      </c>
      <c r="H18" s="5"/>
    </row>
    <row r="19" spans="2:8" x14ac:dyDescent="0.25">
      <c r="B19" s="14" t="s">
        <v>255</v>
      </c>
      <c r="C19" s="21">
        <v>1</v>
      </c>
      <c r="D19" s="14" t="s">
        <v>230</v>
      </c>
      <c r="E19" s="121">
        <f>+Parámetros!D11</f>
        <v>11508889</v>
      </c>
      <c r="F19" s="23">
        <v>11</v>
      </c>
      <c r="G19" s="121">
        <f>E19*F19*50%</f>
        <v>63298889.5</v>
      </c>
      <c r="H19" s="219"/>
    </row>
    <row r="20" spans="2:8" x14ac:dyDescent="0.25">
      <c r="B20" s="14" t="s">
        <v>313</v>
      </c>
      <c r="C20" s="21">
        <v>4</v>
      </c>
      <c r="D20" s="54" t="s">
        <v>194</v>
      </c>
      <c r="E20" s="121">
        <f>[3]Parámetros!C32</f>
        <v>3000000</v>
      </c>
      <c r="F20" s="23"/>
      <c r="G20" s="121">
        <f>C20*E20</f>
        <v>12000000</v>
      </c>
      <c r="H20" s="219"/>
    </row>
    <row r="21" spans="2:8" x14ac:dyDescent="0.25">
      <c r="B21" s="14" t="s">
        <v>607</v>
      </c>
      <c r="C21" s="21">
        <v>7</v>
      </c>
      <c r="D21" s="14" t="s">
        <v>115</v>
      </c>
      <c r="E21" s="121">
        <f>390*Parámetros!C34</f>
        <v>1287000</v>
      </c>
      <c r="F21" s="23"/>
      <c r="G21" s="121">
        <f>C21*E21</f>
        <v>9009000</v>
      </c>
    </row>
    <row r="22" spans="2:8" x14ac:dyDescent="0.25">
      <c r="B22" s="14" t="s">
        <v>608</v>
      </c>
      <c r="C22" s="21">
        <v>7</v>
      </c>
      <c r="D22" s="14" t="s">
        <v>115</v>
      </c>
      <c r="E22" s="121">
        <f>510*Parámetros!C34</f>
        <v>1683000</v>
      </c>
      <c r="F22" s="23"/>
      <c r="G22" s="121">
        <f>C22*E22</f>
        <v>11781000</v>
      </c>
    </row>
    <row r="23" spans="2:8" x14ac:dyDescent="0.25">
      <c r="B23" s="14" t="s">
        <v>609</v>
      </c>
      <c r="C23" s="21">
        <v>7</v>
      </c>
      <c r="D23" s="14" t="s">
        <v>115</v>
      </c>
      <c r="E23" s="121">
        <f>510*Parámetros!C34</f>
        <v>1683000</v>
      </c>
      <c r="F23" s="23"/>
      <c r="G23" s="121">
        <f>C23*E23</f>
        <v>11781000</v>
      </c>
    </row>
    <row r="24" spans="2:8" x14ac:dyDescent="0.25">
      <c r="B24" s="14" t="s">
        <v>610</v>
      </c>
      <c r="C24" s="21">
        <v>14</v>
      </c>
      <c r="D24" s="14" t="s">
        <v>115</v>
      </c>
      <c r="E24" s="121">
        <f>510*Parámetros!C34</f>
        <v>1683000</v>
      </c>
      <c r="F24" s="23"/>
      <c r="G24" s="121">
        <f>C24*E24</f>
        <v>23562000</v>
      </c>
    </row>
    <row r="25" spans="2:8" x14ac:dyDescent="0.25">
      <c r="B25" s="14" t="s">
        <v>612</v>
      </c>
      <c r="C25" s="21">
        <v>2</v>
      </c>
      <c r="D25" s="14" t="s">
        <v>230</v>
      </c>
      <c r="E25" s="121">
        <f>+Parámetros!D14</f>
        <v>7017615</v>
      </c>
      <c r="F25" s="23">
        <v>11</v>
      </c>
      <c r="G25" s="121">
        <f>C25*E25*F25</f>
        <v>154387530</v>
      </c>
      <c r="H25" s="274"/>
    </row>
    <row r="26" spans="2:8" x14ac:dyDescent="0.25">
      <c r="B26" s="161" t="s">
        <v>304</v>
      </c>
      <c r="C26" s="25"/>
      <c r="D26" s="14"/>
      <c r="E26" s="13"/>
      <c r="F26" s="13"/>
      <c r="G26" s="26">
        <f>SUM(G19:G25)</f>
        <v>285819419.5</v>
      </c>
      <c r="H26" s="5"/>
    </row>
    <row r="27" spans="2:8" ht="15" customHeight="1" x14ac:dyDescent="0.25">
      <c r="B27" s="318" t="s">
        <v>611</v>
      </c>
      <c r="C27" s="318"/>
      <c r="D27" s="318"/>
      <c r="E27" s="318"/>
    </row>
  </sheetData>
  <sheetProtection sheet="1" formatCells="0" formatColumns="0" formatRows="0" insertColumns="0" insertRows="0" insertHyperlinks="0" deleteColumns="0" deleteRows="0" sort="0" autoFilter="0" pivotTables="0"/>
  <mergeCells count="4">
    <mergeCell ref="H14:I14"/>
    <mergeCell ref="J14:K14"/>
    <mergeCell ref="B16:G16"/>
    <mergeCell ref="B27:E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4"/>
  <dimension ref="B2:X30"/>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detallado'!B12</f>
        <v xml:space="preserve">1.2. Desarrollo de clústeres agroindustriales arroceros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24" x14ac:dyDescent="0.25">
      <c r="B8" s="18" t="str">
        <f>+'Presupuesto detallado'!B13</f>
        <v>1.2.1. Zonificación de las áreas para el desarrollo de clústeres agroindustriales de arroz</v>
      </c>
      <c r="C8" s="19" t="s">
        <v>140</v>
      </c>
      <c r="D8" s="20"/>
      <c r="E8" s="20"/>
      <c r="F8" s="20"/>
      <c r="G8" s="20"/>
      <c r="H8" s="20"/>
      <c r="I8" s="20"/>
      <c r="J8" s="20"/>
      <c r="K8" s="20"/>
      <c r="L8" s="20"/>
      <c r="M8" s="20"/>
      <c r="N8" s="20"/>
      <c r="O8" s="20"/>
      <c r="P8" s="20"/>
      <c r="Q8" s="20"/>
      <c r="R8" s="20"/>
      <c r="S8" s="20"/>
      <c r="T8" s="20"/>
      <c r="U8" s="20"/>
      <c r="V8" s="20"/>
    </row>
    <row r="9" spans="2:24" ht="36" x14ac:dyDescent="0.25">
      <c r="B9" s="18" t="str">
        <f>+'Presupuesto detallado'!B15</f>
        <v xml:space="preserve">1.2.3. Implementación de sistemas productivos agropecuarios que complementen la actividad arrocera, promoviendo la rotación del cultivo </v>
      </c>
      <c r="C9" s="19" t="s">
        <v>141</v>
      </c>
      <c r="D9" s="20"/>
      <c r="E9" s="20"/>
      <c r="F9" s="20"/>
      <c r="G9" s="20"/>
      <c r="H9" s="20"/>
      <c r="I9" s="20"/>
      <c r="J9" s="20"/>
      <c r="K9" s="20"/>
      <c r="L9" s="20"/>
      <c r="M9" s="20"/>
      <c r="N9" s="20"/>
      <c r="O9" s="20"/>
      <c r="P9" s="20"/>
      <c r="Q9" s="20"/>
      <c r="R9" s="20"/>
      <c r="S9" s="20"/>
      <c r="T9" s="20"/>
      <c r="U9" s="20"/>
      <c r="V9" s="20"/>
    </row>
    <row r="10" spans="2:24" ht="48" x14ac:dyDescent="0.25">
      <c r="B10" s="18" t="str">
        <f>+'Presupuesto detallado'!B14</f>
        <v>1.2.2. Implementación de los clústeres, constitución de unidades empresariales y asociaciones, asi como del desarrollo de procesos agroindustriales, que generen productos con mayor valor agregado</v>
      </c>
      <c r="C10" s="19" t="s">
        <v>159</v>
      </c>
      <c r="D10" s="20"/>
      <c r="E10" s="20"/>
      <c r="F10" s="20"/>
      <c r="G10" s="20"/>
      <c r="H10" s="20"/>
      <c r="I10" s="20"/>
      <c r="J10" s="20"/>
      <c r="K10" s="20"/>
      <c r="L10" s="20"/>
      <c r="M10" s="20"/>
      <c r="N10" s="20"/>
      <c r="O10" s="20"/>
      <c r="P10" s="20"/>
      <c r="Q10" s="20"/>
      <c r="R10" s="20"/>
      <c r="S10" s="20"/>
      <c r="T10" s="20"/>
      <c r="U10" s="20"/>
      <c r="V10" s="20"/>
    </row>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B2:X30"/>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detallado'!B16</f>
        <v>1.3. Abastecimiento del consumo de arroz blanco con producción nacional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detallado'!B17</f>
        <v>1.3.1. Diseño e implementación de estrategias de consumo diferenciadas (arroz, arroz nacional, regional y local, subproductos)</v>
      </c>
      <c r="C8" s="71" t="s">
        <v>143</v>
      </c>
      <c r="D8" s="20"/>
      <c r="E8" s="20"/>
      <c r="F8" s="20"/>
      <c r="G8" s="20"/>
      <c r="H8" s="20"/>
      <c r="I8" s="20"/>
      <c r="J8" s="20"/>
      <c r="K8" s="20"/>
      <c r="L8" s="20"/>
      <c r="M8" s="20"/>
      <c r="N8" s="20"/>
      <c r="O8" s="20"/>
      <c r="P8" s="20"/>
      <c r="Q8" s="20"/>
      <c r="R8" s="20"/>
      <c r="S8" s="20"/>
      <c r="T8" s="20"/>
      <c r="U8" s="20"/>
      <c r="V8" s="20"/>
    </row>
    <row r="9" spans="2:24" ht="24" x14ac:dyDescent="0.25">
      <c r="B9" s="18" t="str">
        <f>+'Presupuesto detallado'!B18</f>
        <v>1.3.2. Monitoreo de la producción nacional de arroz que garantice el abastecimiento del consumo nacional</v>
      </c>
      <c r="C9" s="19" t="s">
        <v>144</v>
      </c>
      <c r="D9" s="20"/>
      <c r="E9" s="20"/>
      <c r="F9" s="20"/>
      <c r="G9" s="20"/>
      <c r="H9" s="20"/>
      <c r="I9" s="20"/>
      <c r="J9" s="20"/>
      <c r="K9" s="20"/>
      <c r="L9" s="20"/>
      <c r="M9" s="20"/>
      <c r="N9" s="20"/>
      <c r="O9" s="20"/>
      <c r="P9" s="20"/>
      <c r="Q9" s="20"/>
      <c r="R9" s="20"/>
      <c r="S9" s="20"/>
      <c r="T9" s="20"/>
      <c r="U9" s="20"/>
      <c r="V9" s="20"/>
    </row>
    <row r="10" spans="2:24" ht="28.5" customHeight="1" x14ac:dyDescent="0.25">
      <c r="B10" s="18" t="str">
        <f>+'Presupuesto detallado'!B19</f>
        <v>1.3.3. Fortalecimiento de acciones para evitar el contrabando de arroz</v>
      </c>
      <c r="C10" s="71" t="s">
        <v>119</v>
      </c>
      <c r="D10" s="20"/>
      <c r="E10" s="20"/>
      <c r="F10" s="20"/>
      <c r="G10" s="20"/>
      <c r="H10" s="20"/>
      <c r="I10" s="20"/>
      <c r="J10" s="20"/>
      <c r="K10" s="20"/>
      <c r="L10" s="20"/>
      <c r="M10" s="20"/>
      <c r="N10" s="20"/>
      <c r="O10" s="20"/>
      <c r="P10" s="20"/>
      <c r="Q10" s="20"/>
      <c r="R10" s="20"/>
      <c r="S10" s="20"/>
      <c r="T10" s="20"/>
      <c r="U10" s="20"/>
      <c r="V10" s="20"/>
    </row>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B2:X32"/>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detallado'!B20</f>
        <v>1.4 Consolidación de mecanismos y canales de comercialización,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detallado'!B21</f>
        <v>1.4.1. Identificación y seguimiento de la oferta de productos de calidad, inocuos y de valor agregado de arroz</v>
      </c>
      <c r="C8" s="71" t="s">
        <v>145</v>
      </c>
      <c r="D8" s="20"/>
      <c r="E8" s="20"/>
      <c r="F8" s="20"/>
      <c r="G8" s="20"/>
      <c r="H8" s="20"/>
      <c r="I8" s="20"/>
      <c r="J8" s="20"/>
      <c r="K8" s="20"/>
      <c r="L8" s="20"/>
      <c r="M8" s="20"/>
      <c r="N8" s="20"/>
      <c r="O8" s="20"/>
      <c r="P8" s="20"/>
      <c r="Q8" s="20"/>
      <c r="R8" s="20"/>
      <c r="S8" s="20"/>
      <c r="T8" s="20"/>
      <c r="U8" s="20"/>
      <c r="V8" s="20"/>
    </row>
    <row r="9" spans="2:24" ht="48" x14ac:dyDescent="0.25">
      <c r="B9" s="18" t="str">
        <f>+'Presupuesto detallado'!B22</f>
        <v>1.4.2. Desarrollo de economías de escala, a través de modelos asociativos y de cooperación que faciliten la comercialización de insumos, arroz, subproductos y derivados, en mayores cantidades</v>
      </c>
      <c r="C9" s="19" t="s">
        <v>142</v>
      </c>
      <c r="D9" s="20"/>
      <c r="E9" s="20"/>
      <c r="F9" s="20"/>
      <c r="G9" s="20"/>
      <c r="H9" s="20"/>
      <c r="I9" s="20"/>
      <c r="J9" s="20"/>
      <c r="K9" s="20"/>
      <c r="L9" s="20"/>
      <c r="M9" s="20"/>
      <c r="N9" s="20"/>
      <c r="O9" s="20"/>
      <c r="P9" s="20"/>
      <c r="Q9" s="20"/>
      <c r="R9" s="20"/>
      <c r="S9" s="20"/>
      <c r="T9" s="20"/>
      <c r="U9" s="20"/>
      <c r="V9" s="20"/>
    </row>
    <row r="10" spans="2:24" ht="72" x14ac:dyDescent="0.25">
      <c r="B10" s="18" t="str">
        <f>+'Presupuesto detallado'!B23</f>
        <v>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v>
      </c>
      <c r="C10" s="71" t="s">
        <v>146</v>
      </c>
      <c r="D10" s="20"/>
      <c r="E10" s="20"/>
      <c r="F10" s="20"/>
      <c r="G10" s="20"/>
      <c r="H10" s="20"/>
      <c r="I10" s="20"/>
      <c r="J10" s="20"/>
      <c r="K10" s="20"/>
      <c r="L10" s="20"/>
      <c r="M10" s="20"/>
      <c r="N10" s="20"/>
      <c r="O10" s="20"/>
      <c r="P10" s="20"/>
      <c r="Q10" s="20"/>
      <c r="R10" s="20"/>
      <c r="S10" s="20"/>
      <c r="T10" s="20"/>
      <c r="U10" s="20"/>
      <c r="V10" s="20"/>
    </row>
    <row r="11" spans="2:24" ht="48" x14ac:dyDescent="0.25">
      <c r="B11" s="18" t="str">
        <f>+'Presupuesto detallado'!B24</f>
        <v xml:space="preserve">1.4.4. Elaboración de estudios de mercado, para identificar nichos, productos y mercados diferenciados (arroces criollos, subproductos y derivados del arroz, otros usos del arroz, marcas regionales) </v>
      </c>
      <c r="C11" s="71" t="s">
        <v>147</v>
      </c>
      <c r="D11" s="20"/>
      <c r="E11" s="20"/>
      <c r="F11" s="20"/>
      <c r="G11" s="20"/>
      <c r="H11" s="20"/>
      <c r="I11" s="20"/>
      <c r="J11" s="20"/>
      <c r="K11" s="20"/>
      <c r="L11" s="20"/>
      <c r="M11" s="20"/>
      <c r="N11" s="20"/>
      <c r="O11" s="20"/>
      <c r="P11" s="20"/>
      <c r="Q11" s="20"/>
      <c r="R11" s="20"/>
      <c r="S11" s="20"/>
      <c r="T11" s="20"/>
      <c r="U11" s="20"/>
      <c r="V11" s="20"/>
    </row>
    <row r="12" spans="2:24" ht="24" x14ac:dyDescent="0.25">
      <c r="B12" s="18" t="str">
        <f>+'Presupuesto detallado'!B25</f>
        <v>1.4.5. Incursión y posicionamiento de productos y subproductos de arroz en el mercado internacional</v>
      </c>
      <c r="C12" s="19" t="s">
        <v>148</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7"/>
  <dimension ref="B2:X29"/>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detallado'!B26</f>
        <v>1.5. Fortalecimiento de los instrumentos de mercados, dirigidos al sector arrocero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72" x14ac:dyDescent="0.25">
      <c r="B8" s="18" t="str">
        <f>+'Presupuesto detallado'!B27</f>
        <v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v>
      </c>
      <c r="C8" s="71" t="s">
        <v>147</v>
      </c>
      <c r="D8" s="20"/>
      <c r="E8" s="20"/>
      <c r="F8" s="20"/>
      <c r="G8" s="20"/>
      <c r="H8" s="20"/>
      <c r="I8" s="20"/>
      <c r="J8" s="20"/>
      <c r="K8" s="20"/>
      <c r="L8" s="20"/>
      <c r="M8" s="20"/>
      <c r="N8" s="20"/>
      <c r="O8" s="20"/>
      <c r="P8" s="20"/>
      <c r="Q8" s="20"/>
      <c r="R8" s="20"/>
      <c r="S8" s="20"/>
      <c r="T8" s="20"/>
      <c r="U8" s="20"/>
      <c r="V8" s="20"/>
    </row>
    <row r="9" spans="2:24" ht="72" x14ac:dyDescent="0.25">
      <c r="B9" s="18" t="str">
        <f>+'Presupuesto detallado'!B28</f>
        <v>1.5.2. Monitoreo y evaluación del comportamiento del mercado internacional así como de las importaciones de arroz, para que en el marco de las condiciones establecidas en los acuerdos comerciales vigentes, se puedan identificar las medidas que garanticen la competitividad</v>
      </c>
      <c r="C9" s="19" t="s">
        <v>149</v>
      </c>
      <c r="D9" s="20"/>
      <c r="E9" s="20"/>
      <c r="F9" s="20"/>
      <c r="G9" s="20"/>
      <c r="H9" s="20"/>
      <c r="I9" s="20"/>
      <c r="J9" s="20"/>
      <c r="K9" s="20"/>
      <c r="L9" s="20"/>
      <c r="M9" s="20"/>
      <c r="N9" s="20"/>
      <c r="O9" s="20"/>
      <c r="P9" s="20"/>
      <c r="Q9" s="20"/>
      <c r="R9" s="20"/>
      <c r="S9" s="20"/>
      <c r="T9" s="20"/>
      <c r="U9" s="20"/>
      <c r="V9" s="20"/>
    </row>
    <row r="10" spans="2:24" ht="24" customHeight="1" x14ac:dyDescent="0.25"/>
    <row r="11" spans="2:24" x14ac:dyDescent="0.25">
      <c r="B11" s="13" t="s">
        <v>52</v>
      </c>
      <c r="C11" s="13" t="s">
        <v>40</v>
      </c>
      <c r="D11" s="13" t="s">
        <v>41</v>
      </c>
      <c r="E11" s="13" t="s">
        <v>42</v>
      </c>
      <c r="F11" s="13" t="s">
        <v>43</v>
      </c>
      <c r="G11" s="13" t="s">
        <v>44</v>
      </c>
      <c r="H11" s="5"/>
    </row>
    <row r="12" spans="2:24" x14ac:dyDescent="0.25">
      <c r="B12" s="14"/>
      <c r="C12" s="21"/>
      <c r="D12" s="14"/>
      <c r="E12" s="22"/>
      <c r="F12" s="23"/>
      <c r="G12" s="22"/>
      <c r="H12" s="5"/>
    </row>
    <row r="13" spans="2:24" x14ac:dyDescent="0.25">
      <c r="B13" s="14"/>
      <c r="C13" s="21"/>
      <c r="D13" s="14"/>
      <c r="E13" s="22"/>
      <c r="F13" s="23"/>
      <c r="G13" s="22"/>
      <c r="H13" s="5"/>
    </row>
    <row r="14" spans="2:24" x14ac:dyDescent="0.25">
      <c r="B14" s="14"/>
      <c r="C14" s="21"/>
      <c r="D14" s="14"/>
      <c r="E14" s="22"/>
      <c r="F14" s="23"/>
      <c r="G14" s="22"/>
      <c r="H14" s="28" t="s">
        <v>53</v>
      </c>
    </row>
    <row r="15" spans="2:24" x14ac:dyDescent="0.25">
      <c r="B15" s="14"/>
      <c r="C15" s="21"/>
      <c r="D15" s="14"/>
      <c r="E15" s="22"/>
      <c r="F15" s="23"/>
      <c r="G15" s="22"/>
      <c r="H15" s="5"/>
    </row>
    <row r="16" spans="2:24" x14ac:dyDescent="0.25">
      <c r="B16" s="24" t="s">
        <v>46</v>
      </c>
      <c r="C16" s="25"/>
      <c r="D16" s="14"/>
      <c r="E16" s="13"/>
      <c r="F16" s="13"/>
      <c r="G16" s="26"/>
      <c r="H16" s="5"/>
    </row>
    <row r="17" spans="2:8" x14ac:dyDescent="0.25">
      <c r="B17" s="5"/>
      <c r="C17" s="5"/>
      <c r="D17" s="5"/>
      <c r="E17" s="5"/>
      <c r="F17" s="5"/>
      <c r="G17" s="5"/>
      <c r="H17" s="5"/>
    </row>
    <row r="18" spans="2:8" x14ac:dyDescent="0.25">
      <c r="B18" s="5"/>
      <c r="C18" s="5"/>
      <c r="D18" s="5"/>
      <c r="E18" s="5"/>
      <c r="F18" s="5"/>
      <c r="G18" s="5"/>
      <c r="H18" s="5"/>
    </row>
    <row r="19" spans="2:8" x14ac:dyDescent="0.25">
      <c r="B19" s="13" t="s">
        <v>54</v>
      </c>
      <c r="C19" s="13" t="s">
        <v>40</v>
      </c>
      <c r="D19" s="13" t="s">
        <v>41</v>
      </c>
      <c r="E19" s="13" t="s">
        <v>42</v>
      </c>
      <c r="F19" s="13" t="s">
        <v>43</v>
      </c>
      <c r="G19" s="13" t="s">
        <v>44</v>
      </c>
      <c r="H19" s="5"/>
    </row>
    <row r="20" spans="2:8" x14ac:dyDescent="0.25">
      <c r="B20" s="14"/>
      <c r="C20" s="21"/>
      <c r="D20" s="14"/>
      <c r="E20" s="22"/>
      <c r="F20" s="23"/>
      <c r="G20" s="22"/>
      <c r="H20" s="28" t="s">
        <v>47</v>
      </c>
    </row>
    <row r="21" spans="2:8" x14ac:dyDescent="0.25">
      <c r="B21" s="14"/>
      <c r="C21" s="21"/>
      <c r="D21" s="14"/>
      <c r="E21" s="22"/>
      <c r="F21" s="23"/>
      <c r="G21" s="22"/>
      <c r="H21" s="5"/>
    </row>
    <row r="22" spans="2:8" x14ac:dyDescent="0.25">
      <c r="B22" s="14"/>
      <c r="C22" s="21"/>
      <c r="D22" s="14"/>
      <c r="E22" s="22"/>
      <c r="F22" s="23"/>
      <c r="G22" s="22"/>
      <c r="H22" s="5"/>
    </row>
    <row r="23" spans="2:8" x14ac:dyDescent="0.25">
      <c r="B23" s="14"/>
      <c r="C23" s="21"/>
      <c r="D23" s="14"/>
      <c r="E23" s="22"/>
      <c r="F23" s="23"/>
      <c r="G23" s="22"/>
      <c r="H23" s="5"/>
    </row>
    <row r="24" spans="2:8" x14ac:dyDescent="0.25">
      <c r="B24" s="292" t="s">
        <v>48</v>
      </c>
      <c r="C24" s="293"/>
      <c r="D24" s="293"/>
      <c r="E24" s="293"/>
      <c r="F24" s="294"/>
      <c r="G24" s="27"/>
      <c r="H24" s="5"/>
    </row>
    <row r="25" spans="2:8" x14ac:dyDescent="0.25">
      <c r="B25" s="14"/>
      <c r="C25" s="21"/>
      <c r="D25" s="14"/>
      <c r="E25" s="22"/>
      <c r="F25" s="23"/>
      <c r="G25" s="22"/>
      <c r="H25" s="28" t="s">
        <v>49</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50</v>
      </c>
      <c r="C29" s="293"/>
      <c r="D29" s="293"/>
      <c r="E29" s="293"/>
      <c r="F29" s="294"/>
      <c r="G29" s="26"/>
      <c r="H29" s="5"/>
    </row>
  </sheetData>
  <mergeCells count="2">
    <mergeCell ref="B24:F24"/>
    <mergeCell ref="B29:F2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8"/>
  <dimension ref="B2:X80"/>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5.85546875" style="1" bestFit="1" customWidth="1"/>
    <col min="6" max="6" width="14.7109375" style="1" bestFit="1" customWidth="1"/>
    <col min="7" max="7" width="14.85546875" style="1" bestFit="1" customWidth="1"/>
    <col min="8" max="8" width="19.42578125" style="1" customWidth="1"/>
    <col min="9" max="9" width="14.7109375" style="1" bestFit="1" customWidth="1"/>
    <col min="10" max="10" width="16.85546875" style="1" bestFit="1" customWidth="1"/>
    <col min="11" max="12" width="14.7109375" style="1" bestFit="1" customWidth="1"/>
    <col min="13" max="13" width="13.7109375" style="1" bestFit="1" customWidth="1"/>
    <col min="14" max="15" width="14.7109375" style="1" bestFit="1" customWidth="1"/>
    <col min="16" max="17" width="13.7109375" style="1" bestFit="1" customWidth="1"/>
    <col min="18" max="18" width="14.7109375" style="1" bestFit="1" customWidth="1"/>
    <col min="19" max="19" width="13.7109375" style="1" bestFit="1" customWidth="1"/>
    <col min="20" max="20" width="12.28515625" style="1" bestFit="1" customWidth="1"/>
    <col min="21" max="21" width="14.7109375" style="1" bestFit="1" customWidth="1"/>
    <col min="22" max="22" width="12.5703125" style="1" bestFit="1" customWidth="1"/>
    <col min="23" max="23" width="15.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detallado'!B30</f>
        <v>2.1. Fortalecimiento de la investigación, desarrollo e innovación (I+D+i),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51.75" customHeight="1" x14ac:dyDescent="0.25">
      <c r="B8" s="18" t="str">
        <f>+'Presupuesto detallado'!B31</f>
        <v>2.1.1. Articulación de las agendas de I+D+i pública y privadas, diferenciadas por regiones, tipo de productor y sistema productivo, en el marco de la actualización del PECTIA de arroz</v>
      </c>
      <c r="C8" s="19" t="s">
        <v>119</v>
      </c>
      <c r="D8" s="20"/>
      <c r="E8" s="53">
        <f t="shared" ref="E8:V8" si="0">+$H$21</f>
        <v>72298889.5</v>
      </c>
      <c r="F8" s="53">
        <f t="shared" si="0"/>
        <v>72298889.5</v>
      </c>
      <c r="G8" s="53">
        <f t="shared" si="0"/>
        <v>72298889.5</v>
      </c>
      <c r="H8" s="53">
        <f t="shared" si="0"/>
        <v>72298889.5</v>
      </c>
      <c r="I8" s="53">
        <f t="shared" si="0"/>
        <v>72298889.5</v>
      </c>
      <c r="J8" s="53">
        <f t="shared" si="0"/>
        <v>72298889.5</v>
      </c>
      <c r="K8" s="53">
        <f t="shared" si="0"/>
        <v>72298889.5</v>
      </c>
      <c r="L8" s="53">
        <f t="shared" si="0"/>
        <v>72298889.5</v>
      </c>
      <c r="M8" s="53">
        <f t="shared" si="0"/>
        <v>72298889.5</v>
      </c>
      <c r="N8" s="53">
        <f t="shared" si="0"/>
        <v>72298889.5</v>
      </c>
      <c r="O8" s="53">
        <f t="shared" si="0"/>
        <v>72298889.5</v>
      </c>
      <c r="P8" s="53">
        <f t="shared" si="0"/>
        <v>72298889.5</v>
      </c>
      <c r="Q8" s="53">
        <f t="shared" si="0"/>
        <v>72298889.5</v>
      </c>
      <c r="R8" s="53">
        <f t="shared" si="0"/>
        <v>72298889.5</v>
      </c>
      <c r="S8" s="53">
        <f t="shared" si="0"/>
        <v>72298889.5</v>
      </c>
      <c r="T8" s="53">
        <f t="shared" si="0"/>
        <v>72298889.5</v>
      </c>
      <c r="U8" s="53">
        <f t="shared" si="0"/>
        <v>72298889.5</v>
      </c>
      <c r="V8" s="53">
        <f t="shared" si="0"/>
        <v>72298889.5</v>
      </c>
      <c r="W8" s="53">
        <f>SUM(E8:V8)</f>
        <v>1301380011</v>
      </c>
    </row>
    <row r="9" spans="2:24" ht="54.75" customHeight="1" x14ac:dyDescent="0.25">
      <c r="B9" s="18" t="str">
        <f>+'Presupuesto detallado'!B32</f>
        <v>2.1.2. Diseño e implementación de un mecanismo de monitoreo de los proyectos ejecutados y en curso, de los sistemas de información de las entidades que realizan I+D+i para la cadena de arroz</v>
      </c>
      <c r="C9" s="19" t="s">
        <v>159</v>
      </c>
      <c r="D9" s="20"/>
      <c r="E9" s="20"/>
      <c r="F9" s="53">
        <f>+H30</f>
        <v>96279383.5</v>
      </c>
      <c r="G9" s="53" t="str">
        <f t="shared" ref="G9:V9" si="1">+$H$29</f>
        <v>Presupuesto relativo</v>
      </c>
      <c r="H9" s="53" t="str">
        <f t="shared" si="1"/>
        <v>Presupuesto relativo</v>
      </c>
      <c r="I9" s="53" t="str">
        <f t="shared" si="1"/>
        <v>Presupuesto relativo</v>
      </c>
      <c r="J9" s="53" t="str">
        <f t="shared" si="1"/>
        <v>Presupuesto relativo</v>
      </c>
      <c r="K9" s="53" t="str">
        <f t="shared" si="1"/>
        <v>Presupuesto relativo</v>
      </c>
      <c r="L9" s="53" t="str">
        <f t="shared" si="1"/>
        <v>Presupuesto relativo</v>
      </c>
      <c r="M9" s="53" t="str">
        <f t="shared" si="1"/>
        <v>Presupuesto relativo</v>
      </c>
      <c r="N9" s="53" t="str">
        <f t="shared" si="1"/>
        <v>Presupuesto relativo</v>
      </c>
      <c r="O9" s="53" t="str">
        <f t="shared" si="1"/>
        <v>Presupuesto relativo</v>
      </c>
      <c r="P9" s="53" t="str">
        <f t="shared" si="1"/>
        <v>Presupuesto relativo</v>
      </c>
      <c r="Q9" s="53" t="str">
        <f t="shared" si="1"/>
        <v>Presupuesto relativo</v>
      </c>
      <c r="R9" s="53" t="str">
        <f t="shared" si="1"/>
        <v>Presupuesto relativo</v>
      </c>
      <c r="S9" s="53" t="str">
        <f t="shared" si="1"/>
        <v>Presupuesto relativo</v>
      </c>
      <c r="T9" s="53" t="str">
        <f t="shared" si="1"/>
        <v>Presupuesto relativo</v>
      </c>
      <c r="U9" s="53" t="str">
        <f t="shared" si="1"/>
        <v>Presupuesto relativo</v>
      </c>
      <c r="V9" s="53" t="str">
        <f t="shared" si="1"/>
        <v>Presupuesto relativo</v>
      </c>
      <c r="W9" s="53">
        <f t="shared" ref="W9:W16" si="2">SUM(E9:V9)</f>
        <v>96279383.5</v>
      </c>
    </row>
    <row r="10" spans="2:24" ht="57" customHeight="1" x14ac:dyDescent="0.25">
      <c r="B10" s="18" t="str">
        <f>+'Presupuesto detallado'!B33</f>
        <v>2.1.3. Elaboración de un inventario y caracterización de los profesionales con formación en I+D+i, identificando la experiencia específica, parcial, relacionada o de interés, para la cadena de valor del arroz</v>
      </c>
      <c r="C10" s="19" t="s">
        <v>152</v>
      </c>
      <c r="D10" s="20"/>
      <c r="E10" s="20"/>
      <c r="G10" s="53">
        <f>+H38</f>
        <v>97666108</v>
      </c>
      <c r="H10" s="53">
        <f>+H38</f>
        <v>97666108</v>
      </c>
      <c r="I10" s="20"/>
      <c r="J10" s="20"/>
      <c r="K10" s="20"/>
      <c r="L10" s="53"/>
      <c r="M10" s="53"/>
      <c r="N10" s="20"/>
      <c r="O10" s="20"/>
      <c r="P10" s="20"/>
      <c r="Q10" s="53"/>
      <c r="R10" s="53">
        <f>+H38</f>
        <v>97666108</v>
      </c>
      <c r="S10" s="20"/>
      <c r="T10" s="20"/>
      <c r="U10" s="20"/>
      <c r="V10" s="53"/>
      <c r="W10" s="53">
        <f t="shared" si="2"/>
        <v>292998324</v>
      </c>
    </row>
    <row r="11" spans="2:24" ht="39.75" customHeight="1" x14ac:dyDescent="0.25">
      <c r="B11" s="18" t="str">
        <f>+'Presupuesto detallado'!B34</f>
        <v xml:space="preserve">2.1.4. Análisis de brechas de formación en I+D+i, según áreas temáticas priorizadas por la cadena de arroz </v>
      </c>
      <c r="C11" s="19" t="s">
        <v>152</v>
      </c>
      <c r="D11" s="20"/>
      <c r="E11" s="20"/>
      <c r="F11" s="20"/>
      <c r="G11" s="53">
        <f>+H46</f>
        <v>83582266</v>
      </c>
      <c r="H11" s="53">
        <f>+H46</f>
        <v>83582266</v>
      </c>
      <c r="J11" s="20"/>
      <c r="K11" s="20"/>
      <c r="L11" s="20"/>
      <c r="M11" s="20"/>
      <c r="N11" s="20"/>
      <c r="O11" s="20"/>
      <c r="P11" s="20"/>
      <c r="Q11" s="20"/>
      <c r="R11" s="53">
        <f>+H46</f>
        <v>83582266</v>
      </c>
      <c r="T11" s="20"/>
      <c r="U11" s="20"/>
      <c r="V11" s="20"/>
      <c r="W11" s="53">
        <f t="shared" si="2"/>
        <v>250746798</v>
      </c>
    </row>
    <row r="12" spans="2:24" ht="54" customHeight="1" x14ac:dyDescent="0.25">
      <c r="B12" s="18" t="str">
        <f>+'Presupuesto detallado'!B35</f>
        <v>2.1.5. Fortalecimiento de la formación en las áreas básicas del conocimiento y en las áreas temáticas emergentes acordes con las necesidades de I+D+i de la cadena de arroz</v>
      </c>
      <c r="C12" s="19" t="s">
        <v>282</v>
      </c>
      <c r="D12" s="20"/>
      <c r="E12" s="20"/>
      <c r="F12" s="20"/>
      <c r="G12" s="20"/>
      <c r="H12" s="20"/>
      <c r="I12" s="53">
        <f t="shared" ref="I12:S12" si="3">+$G$54</f>
        <v>3750000000</v>
      </c>
      <c r="J12" s="53">
        <f t="shared" si="3"/>
        <v>3750000000</v>
      </c>
      <c r="K12" s="53">
        <f t="shared" si="3"/>
        <v>3750000000</v>
      </c>
      <c r="L12" s="53">
        <f t="shared" si="3"/>
        <v>3750000000</v>
      </c>
      <c r="M12" s="53">
        <f t="shared" si="3"/>
        <v>3750000000</v>
      </c>
      <c r="N12" s="53">
        <f t="shared" si="3"/>
        <v>3750000000</v>
      </c>
      <c r="O12" s="53">
        <f t="shared" si="3"/>
        <v>3750000000</v>
      </c>
      <c r="P12" s="53">
        <f t="shared" si="3"/>
        <v>3750000000</v>
      </c>
      <c r="Q12" s="53">
        <f t="shared" si="3"/>
        <v>3750000000</v>
      </c>
      <c r="R12" s="53">
        <f t="shared" si="3"/>
        <v>3750000000</v>
      </c>
      <c r="S12" s="53">
        <f t="shared" si="3"/>
        <v>3750000000</v>
      </c>
      <c r="T12" s="53"/>
      <c r="U12" s="53"/>
      <c r="V12" s="53"/>
      <c r="W12" s="53">
        <f t="shared" si="2"/>
        <v>41250000000</v>
      </c>
    </row>
    <row r="13" spans="2:24" ht="54" customHeight="1" x14ac:dyDescent="0.25">
      <c r="B13" s="18" t="str">
        <f>+'Presupuesto detallado'!B36</f>
        <v xml:space="preserve">2.1.6. Diseño y puesta en operación de convenios de cooperación científica y técnica público-privados para I+D+i entre los actores de la cadena de arroz, para el financiamiento de la agenda priorizada y articulada </v>
      </c>
      <c r="C13" s="19" t="s">
        <v>159</v>
      </c>
      <c r="D13" s="20"/>
      <c r="E13" s="20"/>
      <c r="F13" s="53">
        <f>+H60</f>
        <v>63298889.5</v>
      </c>
      <c r="G13" s="53">
        <f>+H60</f>
        <v>63298889.5</v>
      </c>
      <c r="H13" s="53">
        <f>+H60</f>
        <v>63298889.5</v>
      </c>
      <c r="I13" s="53" t="str">
        <f t="shared" ref="I13:V13" si="4">+$H$59</f>
        <v>Presupuesto relativo</v>
      </c>
      <c r="J13" s="53" t="str">
        <f t="shared" si="4"/>
        <v>Presupuesto relativo</v>
      </c>
      <c r="K13" s="53" t="str">
        <f t="shared" si="4"/>
        <v>Presupuesto relativo</v>
      </c>
      <c r="L13" s="53" t="str">
        <f t="shared" si="4"/>
        <v>Presupuesto relativo</v>
      </c>
      <c r="M13" s="53" t="str">
        <f t="shared" si="4"/>
        <v>Presupuesto relativo</v>
      </c>
      <c r="N13" s="53" t="str">
        <f t="shared" si="4"/>
        <v>Presupuesto relativo</v>
      </c>
      <c r="O13" s="53" t="str">
        <f t="shared" si="4"/>
        <v>Presupuesto relativo</v>
      </c>
      <c r="P13" s="53" t="str">
        <f t="shared" si="4"/>
        <v>Presupuesto relativo</v>
      </c>
      <c r="Q13" s="53" t="str">
        <f t="shared" si="4"/>
        <v>Presupuesto relativo</v>
      </c>
      <c r="R13" s="53" t="str">
        <f t="shared" si="4"/>
        <v>Presupuesto relativo</v>
      </c>
      <c r="S13" s="53" t="str">
        <f t="shared" si="4"/>
        <v>Presupuesto relativo</v>
      </c>
      <c r="T13" s="53" t="str">
        <f t="shared" si="4"/>
        <v>Presupuesto relativo</v>
      </c>
      <c r="U13" s="53" t="str">
        <f t="shared" si="4"/>
        <v>Presupuesto relativo</v>
      </c>
      <c r="V13" s="53" t="str">
        <f t="shared" si="4"/>
        <v>Presupuesto relativo</v>
      </c>
      <c r="W13" s="53">
        <f t="shared" si="2"/>
        <v>189896668.5</v>
      </c>
    </row>
    <row r="14" spans="2:24" ht="55.5" customHeight="1" x14ac:dyDescent="0.25">
      <c r="B14" s="18" t="str">
        <f>+'Presupuesto detallado'!B37</f>
        <v>2.1.7. Promoción para la formulación y ejecución conjunta entre entidades de ciencia y tecnología de programas y proyectos de I+D+i priorizados para la cadena de arroz, con enfoque diferencial</v>
      </c>
      <c r="C14" s="19" t="s">
        <v>159</v>
      </c>
      <c r="D14" s="20"/>
      <c r="E14" s="20"/>
      <c r="F14" s="53">
        <f>+$G$64</f>
        <v>20000000</v>
      </c>
      <c r="G14" s="53">
        <f>+$G$64</f>
        <v>20000000</v>
      </c>
      <c r="H14" s="53">
        <f>+$G$64</f>
        <v>20000000</v>
      </c>
      <c r="I14" s="53" t="str">
        <f t="shared" ref="I14:V14" si="5">+$G$65</f>
        <v>Presupuesto relativo</v>
      </c>
      <c r="J14" s="53" t="str">
        <f t="shared" si="5"/>
        <v>Presupuesto relativo</v>
      </c>
      <c r="K14" s="53" t="str">
        <f t="shared" si="5"/>
        <v>Presupuesto relativo</v>
      </c>
      <c r="L14" s="53" t="str">
        <f t="shared" si="5"/>
        <v>Presupuesto relativo</v>
      </c>
      <c r="M14" s="53" t="str">
        <f t="shared" si="5"/>
        <v>Presupuesto relativo</v>
      </c>
      <c r="N14" s="53" t="str">
        <f t="shared" si="5"/>
        <v>Presupuesto relativo</v>
      </c>
      <c r="O14" s="53" t="str">
        <f t="shared" si="5"/>
        <v>Presupuesto relativo</v>
      </c>
      <c r="P14" s="53" t="str">
        <f t="shared" si="5"/>
        <v>Presupuesto relativo</v>
      </c>
      <c r="Q14" s="53" t="str">
        <f t="shared" si="5"/>
        <v>Presupuesto relativo</v>
      </c>
      <c r="R14" s="53" t="str">
        <f t="shared" si="5"/>
        <v>Presupuesto relativo</v>
      </c>
      <c r="S14" s="53" t="str">
        <f t="shared" si="5"/>
        <v>Presupuesto relativo</v>
      </c>
      <c r="T14" s="53" t="str">
        <f t="shared" si="5"/>
        <v>Presupuesto relativo</v>
      </c>
      <c r="U14" s="53" t="str">
        <f t="shared" si="5"/>
        <v>Presupuesto relativo</v>
      </c>
      <c r="V14" s="53" t="str">
        <f t="shared" si="5"/>
        <v>Presupuesto relativo</v>
      </c>
      <c r="W14" s="53">
        <f t="shared" si="2"/>
        <v>60000000</v>
      </c>
    </row>
    <row r="15" spans="2:24" ht="75.75" customHeight="1" x14ac:dyDescent="0.25">
      <c r="B15" s="18" t="str">
        <f>+'Presupuesto detallado'!B38</f>
        <v>2.1.8. Desarrollo de estrategias y mecanismos que promuevan el trabajo colaborativo para la adquisición, modernización y aprovechamiento eficiente de la infraestructura, equipamientos y recursos, entre otros, para I+D+i, entre las entidades vinculadas a la cadena de arroz</v>
      </c>
      <c r="C15" s="19" t="s">
        <v>276</v>
      </c>
      <c r="D15" s="20"/>
      <c r="E15" s="20"/>
      <c r="F15" s="53">
        <f>+H72</f>
        <v>63298889.5</v>
      </c>
      <c r="G15" s="53" t="str">
        <f>+H71</f>
        <v>Presupuesto relativo</v>
      </c>
      <c r="H15" s="53" t="str">
        <f>+$H$71</f>
        <v>Presupuesto relativo</v>
      </c>
      <c r="I15" s="53" t="str">
        <f>+$H$71</f>
        <v>Presupuesto relativo</v>
      </c>
      <c r="J15" s="53" t="str">
        <f>+$H$71</f>
        <v>Presupuesto relativo</v>
      </c>
      <c r="K15" s="53"/>
      <c r="L15" s="53"/>
      <c r="M15" s="53"/>
      <c r="N15" s="53"/>
      <c r="O15" s="53"/>
      <c r="P15" s="53"/>
      <c r="Q15" s="20"/>
      <c r="R15" s="20"/>
      <c r="S15" s="20"/>
      <c r="T15" s="20"/>
      <c r="U15" s="20"/>
      <c r="V15" s="20"/>
      <c r="W15" s="53">
        <f t="shared" si="2"/>
        <v>63298889.5</v>
      </c>
    </row>
    <row r="16" spans="2:24" ht="28.5" customHeight="1" x14ac:dyDescent="0.25">
      <c r="B16" s="18" t="str">
        <f>+'Presupuesto detallado'!B39</f>
        <v>2.1.9. Fortalecimiento del desarrollo genético como pilar de I+D+i, de la cadena de arroz</v>
      </c>
      <c r="C16" s="19" t="s">
        <v>159</v>
      </c>
      <c r="D16" s="20"/>
      <c r="E16" s="20"/>
      <c r="F16" s="53">
        <f>+G76</f>
        <v>60000000000</v>
      </c>
      <c r="G16" s="53" t="str">
        <f>+G77</f>
        <v>Presupuesto relativo</v>
      </c>
      <c r="H16" s="53" t="str">
        <f>+G77</f>
        <v>Presupuesto relativo</v>
      </c>
      <c r="I16" s="53">
        <f>+G76</f>
        <v>60000000000</v>
      </c>
      <c r="J16" s="53" t="str">
        <f>+G77</f>
        <v>Presupuesto relativo</v>
      </c>
      <c r="K16" s="53" t="str">
        <f>+G77</f>
        <v>Presupuesto relativo</v>
      </c>
      <c r="L16" s="53">
        <f>+G76</f>
        <v>60000000000</v>
      </c>
      <c r="M16" s="53" t="str">
        <f>+G77</f>
        <v>Presupuesto relativo</v>
      </c>
      <c r="N16" s="53" t="str">
        <f>+G77</f>
        <v>Presupuesto relativo</v>
      </c>
      <c r="O16" s="53">
        <f>+G76</f>
        <v>60000000000</v>
      </c>
      <c r="P16" s="53" t="str">
        <f>+G77</f>
        <v>Presupuesto relativo</v>
      </c>
      <c r="Q16" s="53" t="str">
        <f>+G77</f>
        <v>Presupuesto relativo</v>
      </c>
      <c r="R16" s="53">
        <f>+G76</f>
        <v>60000000000</v>
      </c>
      <c r="S16" s="53" t="str">
        <f>+G77</f>
        <v>Presupuesto relativo</v>
      </c>
      <c r="T16" s="53" t="str">
        <f>+G77</f>
        <v>Presupuesto relativo</v>
      </c>
      <c r="U16" s="53">
        <f>+G76</f>
        <v>60000000000</v>
      </c>
      <c r="V16" s="53" t="str">
        <f>+G77</f>
        <v>Presupuesto relativo</v>
      </c>
      <c r="W16" s="53">
        <f t="shared" si="2"/>
        <v>360000000000</v>
      </c>
    </row>
    <row r="17" spans="2:23" ht="24" customHeight="1" x14ac:dyDescent="0.25">
      <c r="W17" s="150">
        <f>SUM(W8:W16)</f>
        <v>403504600074.5</v>
      </c>
    </row>
    <row r="18" spans="2:23" x14ac:dyDescent="0.25">
      <c r="B18" s="13" t="s">
        <v>358</v>
      </c>
      <c r="C18" s="13" t="s">
        <v>40</v>
      </c>
      <c r="D18" s="13" t="s">
        <v>41</v>
      </c>
      <c r="E18" s="13" t="s">
        <v>42</v>
      </c>
      <c r="F18" s="13" t="s">
        <v>554</v>
      </c>
      <c r="G18" s="13" t="s">
        <v>43</v>
      </c>
      <c r="H18" s="13" t="s">
        <v>44</v>
      </c>
      <c r="I18" s="5"/>
      <c r="W18" s="150">
        <f>+'Presupuesto detallado'!V30</f>
        <v>403504600074.5</v>
      </c>
    </row>
    <row r="19" spans="2:23" x14ac:dyDescent="0.25">
      <c r="B19" s="14" t="s">
        <v>641</v>
      </c>
      <c r="C19" s="21">
        <v>2</v>
      </c>
      <c r="D19" s="14" t="s">
        <v>100</v>
      </c>
      <c r="E19" s="77">
        <f>+Parámetros!D11</f>
        <v>11508889</v>
      </c>
      <c r="F19" s="118">
        <v>0.25</v>
      </c>
      <c r="G19" s="23">
        <v>11</v>
      </c>
      <c r="H19" s="77">
        <f>+C19*E19*G19*F19</f>
        <v>63298889.5</v>
      </c>
      <c r="W19" s="252">
        <f>+W17-W18</f>
        <v>0</v>
      </c>
    </row>
    <row r="20" spans="2:23" x14ac:dyDescent="0.25">
      <c r="B20" s="14" t="s">
        <v>106</v>
      </c>
      <c r="C20" s="21">
        <v>3</v>
      </c>
      <c r="D20" s="14" t="s">
        <v>104</v>
      </c>
      <c r="E20" s="77">
        <v>3000000</v>
      </c>
      <c r="F20" s="77"/>
      <c r="G20" s="23"/>
      <c r="H20" s="77">
        <f>+C20*E20</f>
        <v>9000000</v>
      </c>
    </row>
    <row r="21" spans="2:23" x14ac:dyDescent="0.25">
      <c r="B21" s="24" t="s">
        <v>46</v>
      </c>
      <c r="C21" s="25"/>
      <c r="D21" s="14"/>
      <c r="E21" s="13"/>
      <c r="F21" s="13"/>
      <c r="G21" s="13"/>
      <c r="H21" s="26">
        <f>SUM(H19:H20)</f>
        <v>72298889.5</v>
      </c>
      <c r="I21" s="176"/>
    </row>
    <row r="22" spans="2:23" x14ac:dyDescent="0.25">
      <c r="B22" s="5" t="s">
        <v>644</v>
      </c>
      <c r="C22" s="5"/>
      <c r="D22" s="5"/>
      <c r="E22" s="5"/>
      <c r="F22" s="5"/>
      <c r="G22" s="5"/>
      <c r="H22" s="5"/>
    </row>
    <row r="23" spans="2:23" x14ac:dyDescent="0.25">
      <c r="B23" s="5"/>
      <c r="C23" s="5"/>
      <c r="D23" s="5"/>
      <c r="E23" s="5"/>
      <c r="F23" s="5"/>
      <c r="G23" s="5"/>
      <c r="H23" s="5"/>
    </row>
    <row r="24" spans="2:23" x14ac:dyDescent="0.25">
      <c r="B24" s="13" t="s">
        <v>359</v>
      </c>
      <c r="C24" s="13" t="s">
        <v>40</v>
      </c>
      <c r="D24" s="13" t="s">
        <v>41</v>
      </c>
      <c r="E24" s="13" t="s">
        <v>42</v>
      </c>
      <c r="F24" s="13" t="s">
        <v>554</v>
      </c>
      <c r="G24" s="13" t="s">
        <v>43</v>
      </c>
      <c r="H24" s="13" t="s">
        <v>44</v>
      </c>
      <c r="I24" s="5"/>
    </row>
    <row r="25" spans="2:23" x14ac:dyDescent="0.25">
      <c r="B25" s="14" t="s">
        <v>641</v>
      </c>
      <c r="C25" s="21">
        <v>2</v>
      </c>
      <c r="D25" s="14" t="s">
        <v>100</v>
      </c>
      <c r="E25" s="77">
        <f>+Parámetros!D11</f>
        <v>11508889</v>
      </c>
      <c r="F25" s="118">
        <v>0.25</v>
      </c>
      <c r="G25" s="23">
        <v>11</v>
      </c>
      <c r="H25" s="77">
        <f>+C25*E25*G25*F25</f>
        <v>63298889.5</v>
      </c>
      <c r="I25" s="5"/>
    </row>
    <row r="26" spans="2:23" x14ac:dyDescent="0.25">
      <c r="B26" s="14" t="s">
        <v>193</v>
      </c>
      <c r="C26" s="21">
        <v>6</v>
      </c>
      <c r="D26" s="14" t="s">
        <v>194</v>
      </c>
      <c r="E26" s="77">
        <f>+Parámetros!C32</f>
        <v>1000000</v>
      </c>
      <c r="F26" s="77"/>
      <c r="G26" s="23"/>
      <c r="H26" s="77">
        <f>+C26*E26</f>
        <v>6000000</v>
      </c>
      <c r="I26" s="28"/>
    </row>
    <row r="27" spans="2:23" x14ac:dyDescent="0.25">
      <c r="B27" s="14" t="s">
        <v>45</v>
      </c>
      <c r="C27" s="21">
        <v>18</v>
      </c>
      <c r="D27" s="14" t="s">
        <v>553</v>
      </c>
      <c r="E27" s="77">
        <f>+Parámetros!D21</f>
        <v>665583</v>
      </c>
      <c r="F27" s="77"/>
      <c r="G27" s="23"/>
      <c r="H27" s="77">
        <f>+C27*E27</f>
        <v>11980494</v>
      </c>
      <c r="I27" s="28"/>
    </row>
    <row r="28" spans="2:23" x14ac:dyDescent="0.25">
      <c r="B28" s="14" t="s">
        <v>105</v>
      </c>
      <c r="C28" s="21">
        <v>3</v>
      </c>
      <c r="D28" s="14" t="s">
        <v>199</v>
      </c>
      <c r="E28" s="77">
        <v>5000000</v>
      </c>
      <c r="F28" s="77"/>
      <c r="G28" s="23"/>
      <c r="H28" s="77">
        <f>+C28*E28</f>
        <v>15000000</v>
      </c>
      <c r="I28" s="5"/>
    </row>
    <row r="29" spans="2:23" x14ac:dyDescent="0.25">
      <c r="B29" s="56" t="s">
        <v>198</v>
      </c>
      <c r="C29" s="21"/>
      <c r="D29" s="14"/>
      <c r="E29" s="77"/>
      <c r="F29" s="77"/>
      <c r="G29" s="23"/>
      <c r="H29" s="96" t="str">
        <f>+Parámetros!C4</f>
        <v>Presupuesto relativo</v>
      </c>
      <c r="I29" s="5"/>
    </row>
    <row r="30" spans="2:23" x14ac:dyDescent="0.25">
      <c r="B30" s="203" t="s">
        <v>107</v>
      </c>
      <c r="C30" s="204"/>
      <c r="D30" s="204"/>
      <c r="E30" s="204"/>
      <c r="F30" s="204"/>
      <c r="G30" s="205"/>
      <c r="H30" s="26">
        <f>SUM(H25:H29)</f>
        <v>96279383.5</v>
      </c>
      <c r="I30" s="5"/>
    </row>
    <row r="31" spans="2:23" x14ac:dyDescent="0.25">
      <c r="B31" s="5" t="s">
        <v>644</v>
      </c>
      <c r="C31" s="248"/>
      <c r="D31" s="248"/>
      <c r="E31" s="248"/>
      <c r="F31" s="248"/>
      <c r="G31" s="248"/>
      <c r="H31" s="93"/>
      <c r="I31" s="5"/>
    </row>
    <row r="33" spans="2:9" x14ac:dyDescent="0.25">
      <c r="B33" s="13" t="s">
        <v>360</v>
      </c>
      <c r="C33" s="13" t="s">
        <v>40</v>
      </c>
      <c r="D33" s="13" t="s">
        <v>41</v>
      </c>
      <c r="E33" s="13" t="s">
        <v>42</v>
      </c>
      <c r="F33" s="13" t="s">
        <v>554</v>
      </c>
      <c r="G33" s="13" t="s">
        <v>43</v>
      </c>
      <c r="H33" s="13" t="s">
        <v>44</v>
      </c>
    </row>
    <row r="34" spans="2:9" x14ac:dyDescent="0.25">
      <c r="B34" s="14" t="s">
        <v>101</v>
      </c>
      <c r="C34" s="21">
        <v>2</v>
      </c>
      <c r="D34" s="14" t="s">
        <v>100</v>
      </c>
      <c r="E34" s="77">
        <f>+Parámetros!D15</f>
        <v>6456206</v>
      </c>
      <c r="F34" s="118">
        <v>0.5</v>
      </c>
      <c r="G34" s="23">
        <v>11</v>
      </c>
      <c r="H34" s="77">
        <f>+C34*E34*G34*F34</f>
        <v>71018266</v>
      </c>
    </row>
    <row r="35" spans="2:9" x14ac:dyDescent="0.25">
      <c r="B35" s="14" t="s">
        <v>105</v>
      </c>
      <c r="C35" s="21">
        <v>3</v>
      </c>
      <c r="D35" s="14" t="s">
        <v>199</v>
      </c>
      <c r="E35" s="77">
        <v>5000000</v>
      </c>
      <c r="F35" s="118"/>
      <c r="G35" s="23"/>
      <c r="H35" s="77">
        <f>+C35*E35</f>
        <v>15000000</v>
      </c>
    </row>
    <row r="36" spans="2:9" x14ac:dyDescent="0.25">
      <c r="B36" s="14" t="s">
        <v>108</v>
      </c>
      <c r="C36" s="21">
        <v>6</v>
      </c>
      <c r="D36" s="14" t="s">
        <v>194</v>
      </c>
      <c r="E36" s="77">
        <f>+Parámetros!C32</f>
        <v>1000000</v>
      </c>
      <c r="F36" s="118"/>
      <c r="G36" s="23"/>
      <c r="H36" s="77">
        <f>+C36*E36</f>
        <v>6000000</v>
      </c>
      <c r="I36" s="177"/>
    </row>
    <row r="37" spans="2:9" x14ac:dyDescent="0.25">
      <c r="B37" s="14" t="s">
        <v>45</v>
      </c>
      <c r="C37" s="21">
        <v>18</v>
      </c>
      <c r="D37" s="14" t="s">
        <v>553</v>
      </c>
      <c r="E37" s="77">
        <f>+Parámetros!D25</f>
        <v>313769</v>
      </c>
      <c r="F37" s="118"/>
      <c r="G37" s="23"/>
      <c r="H37" s="77">
        <f>+C37*E37</f>
        <v>5647842</v>
      </c>
      <c r="I37" s="178"/>
    </row>
    <row r="38" spans="2:9" x14ac:dyDescent="0.25">
      <c r="B38" s="203" t="s">
        <v>107</v>
      </c>
      <c r="C38" s="204"/>
      <c r="D38" s="204"/>
      <c r="E38" s="204"/>
      <c r="F38" s="204"/>
      <c r="G38" s="205"/>
      <c r="H38" s="95">
        <f>SUM(H34:H37)</f>
        <v>97666108</v>
      </c>
    </row>
    <row r="39" spans="2:9" x14ac:dyDescent="0.25">
      <c r="B39" s="5" t="s">
        <v>645</v>
      </c>
    </row>
    <row r="41" spans="2:9" x14ac:dyDescent="0.25">
      <c r="B41" s="13" t="s">
        <v>361</v>
      </c>
      <c r="C41" s="13" t="s">
        <v>40</v>
      </c>
      <c r="D41" s="13" t="s">
        <v>41</v>
      </c>
      <c r="E41" s="13" t="s">
        <v>42</v>
      </c>
      <c r="F41" s="13" t="s">
        <v>554</v>
      </c>
      <c r="G41" s="13" t="s">
        <v>43</v>
      </c>
      <c r="H41" s="13" t="s">
        <v>44</v>
      </c>
    </row>
    <row r="42" spans="2:9" x14ac:dyDescent="0.25">
      <c r="B42" s="14" t="s">
        <v>305</v>
      </c>
      <c r="C42" s="21">
        <v>2</v>
      </c>
      <c r="D42" s="14" t="s">
        <v>100</v>
      </c>
      <c r="E42" s="77">
        <f>+Parámetros!D15</f>
        <v>6456206</v>
      </c>
      <c r="F42" s="118">
        <v>0.5</v>
      </c>
      <c r="G42" s="23">
        <v>11</v>
      </c>
      <c r="H42" s="77">
        <f>+C42*E42*G42*F42</f>
        <v>71018266</v>
      </c>
    </row>
    <row r="43" spans="2:9" x14ac:dyDescent="0.25">
      <c r="B43" s="14" t="s">
        <v>106</v>
      </c>
      <c r="C43" s="21">
        <v>2</v>
      </c>
      <c r="D43" s="14" t="s">
        <v>199</v>
      </c>
      <c r="E43" s="77">
        <v>3000000</v>
      </c>
      <c r="F43" s="118"/>
      <c r="G43" s="23"/>
      <c r="H43" s="77">
        <f>C43*E43</f>
        <v>6000000</v>
      </c>
    </row>
    <row r="44" spans="2:9" x14ac:dyDescent="0.25">
      <c r="B44" s="14" t="s">
        <v>252</v>
      </c>
      <c r="C44" s="21">
        <v>1</v>
      </c>
      <c r="D44" s="14" t="s">
        <v>109</v>
      </c>
      <c r="E44" s="77">
        <f>+Parámetros!C33</f>
        <v>3000000</v>
      </c>
      <c r="F44" s="118"/>
      <c r="G44" s="23"/>
      <c r="H44" s="77">
        <f>+C44*E44</f>
        <v>3000000</v>
      </c>
      <c r="I44" s="178"/>
    </row>
    <row r="45" spans="2:9" x14ac:dyDescent="0.25">
      <c r="B45" s="14" t="s">
        <v>45</v>
      </c>
      <c r="C45" s="21">
        <v>6</v>
      </c>
      <c r="D45" s="14" t="s">
        <v>115</v>
      </c>
      <c r="E45" s="77">
        <f>180*Parámetros!C34</f>
        <v>594000</v>
      </c>
      <c r="F45" s="118"/>
      <c r="G45" s="23"/>
      <c r="H45" s="77">
        <f>+C45*E45</f>
        <v>3564000</v>
      </c>
    </row>
    <row r="46" spans="2:9" x14ac:dyDescent="0.25">
      <c r="B46" s="203" t="s">
        <v>107</v>
      </c>
      <c r="C46" s="204"/>
      <c r="D46" s="204"/>
      <c r="E46" s="204"/>
      <c r="F46" s="204"/>
      <c r="G46" s="205"/>
      <c r="H46" s="95">
        <f>SUM(H42:H45)</f>
        <v>83582266</v>
      </c>
    </row>
    <row r="47" spans="2:9" x14ac:dyDescent="0.25">
      <c r="B47" s="5" t="s">
        <v>645</v>
      </c>
    </row>
    <row r="49" spans="2:9" x14ac:dyDescent="0.25">
      <c r="B49" s="13" t="s">
        <v>362</v>
      </c>
      <c r="C49" s="13" t="s">
        <v>40</v>
      </c>
      <c r="D49" s="13" t="s">
        <v>41</v>
      </c>
      <c r="E49" s="13" t="s">
        <v>42</v>
      </c>
      <c r="F49" s="13" t="s">
        <v>43</v>
      </c>
      <c r="G49" s="13" t="s">
        <v>44</v>
      </c>
    </row>
    <row r="50" spans="2:9" x14ac:dyDescent="0.25">
      <c r="B50" s="249" t="s">
        <v>649</v>
      </c>
      <c r="C50" s="250">
        <v>40</v>
      </c>
      <c r="D50" s="250" t="s">
        <v>646</v>
      </c>
      <c r="E50" s="77">
        <v>10000000</v>
      </c>
      <c r="F50" s="250"/>
      <c r="G50" s="251">
        <f>+C50*E50</f>
        <v>400000000</v>
      </c>
    </row>
    <row r="51" spans="2:9" x14ac:dyDescent="0.25">
      <c r="B51" s="249" t="s">
        <v>647</v>
      </c>
      <c r="C51" s="250">
        <v>30</v>
      </c>
      <c r="D51" s="250" t="s">
        <v>646</v>
      </c>
      <c r="E51" s="77">
        <v>45000000</v>
      </c>
      <c r="F51" s="250"/>
      <c r="G51" s="251">
        <f>+C51*E51</f>
        <v>1350000000</v>
      </c>
    </row>
    <row r="52" spans="2:9" x14ac:dyDescent="0.25">
      <c r="B52" s="249" t="s">
        <v>648</v>
      </c>
      <c r="C52" s="250">
        <v>20</v>
      </c>
      <c r="D52" s="250" t="s">
        <v>646</v>
      </c>
      <c r="E52" s="77">
        <v>100000000</v>
      </c>
      <c r="F52" s="250"/>
      <c r="G52" s="251">
        <f>+C52*E52</f>
        <v>2000000000</v>
      </c>
    </row>
    <row r="53" spans="2:9" ht="48.75" x14ac:dyDescent="0.25">
      <c r="B53" s="54" t="s">
        <v>654</v>
      </c>
      <c r="C53" s="21"/>
      <c r="D53" s="14"/>
      <c r="E53" s="22"/>
      <c r="F53" s="23"/>
      <c r="G53" s="98" t="str">
        <f>+Parámetros!C4</f>
        <v>Presupuesto relativo</v>
      </c>
      <c r="H53" s="171"/>
      <c r="I53" s="171"/>
    </row>
    <row r="54" spans="2:9" x14ac:dyDescent="0.25">
      <c r="B54" s="292" t="s">
        <v>107</v>
      </c>
      <c r="C54" s="293"/>
      <c r="D54" s="293"/>
      <c r="E54" s="293"/>
      <c r="F54" s="294"/>
      <c r="G54" s="245">
        <f>SUM(G50:G53)</f>
        <v>3750000000</v>
      </c>
    </row>
    <row r="55" spans="2:9" x14ac:dyDescent="0.25">
      <c r="B55" s="83" t="s">
        <v>650</v>
      </c>
    </row>
    <row r="57" spans="2:9" x14ac:dyDescent="0.25">
      <c r="B57" s="13" t="s">
        <v>363</v>
      </c>
      <c r="C57" s="13" t="s">
        <v>40</v>
      </c>
      <c r="D57" s="13" t="s">
        <v>41</v>
      </c>
      <c r="E57" s="13" t="s">
        <v>42</v>
      </c>
      <c r="F57" s="13" t="s">
        <v>554</v>
      </c>
      <c r="G57" s="13" t="s">
        <v>43</v>
      </c>
      <c r="H57" s="13" t="s">
        <v>44</v>
      </c>
    </row>
    <row r="58" spans="2:9" x14ac:dyDescent="0.25">
      <c r="B58" s="14" t="s">
        <v>641</v>
      </c>
      <c r="C58" s="21">
        <v>2</v>
      </c>
      <c r="D58" s="14" t="s">
        <v>100</v>
      </c>
      <c r="E58" s="77">
        <f>+Parámetros!D11</f>
        <v>11508889</v>
      </c>
      <c r="F58" s="206">
        <v>0.25</v>
      </c>
      <c r="G58" s="23">
        <v>11</v>
      </c>
      <c r="H58" s="79">
        <f>+C58*E58*G58*F58</f>
        <v>63298889.5</v>
      </c>
    </row>
    <row r="59" spans="2:9" x14ac:dyDescent="0.25">
      <c r="B59" s="56" t="s">
        <v>283</v>
      </c>
      <c r="C59" s="21"/>
      <c r="D59" s="14"/>
      <c r="E59" s="22"/>
      <c r="F59" s="22"/>
      <c r="G59" s="23"/>
      <c r="H59" s="98" t="str">
        <f>+Parámetros!C4</f>
        <v>Presupuesto relativo</v>
      </c>
    </row>
    <row r="60" spans="2:9" x14ac:dyDescent="0.25">
      <c r="B60" s="203" t="s">
        <v>107</v>
      </c>
      <c r="C60" s="204"/>
      <c r="D60" s="204"/>
      <c r="E60" s="204"/>
      <c r="F60" s="204"/>
      <c r="G60" s="205"/>
      <c r="H60" s="128">
        <f>SUM(H58:H59)</f>
        <v>63298889.5</v>
      </c>
    </row>
    <row r="61" spans="2:9" x14ac:dyDescent="0.25">
      <c r="B61" s="5" t="s">
        <v>644</v>
      </c>
    </row>
    <row r="63" spans="2:9" x14ac:dyDescent="0.25">
      <c r="B63" s="13" t="s">
        <v>364</v>
      </c>
      <c r="C63" s="13" t="s">
        <v>40</v>
      </c>
      <c r="D63" s="13" t="s">
        <v>41</v>
      </c>
      <c r="E63" s="13" t="s">
        <v>42</v>
      </c>
      <c r="F63" s="13" t="s">
        <v>43</v>
      </c>
      <c r="G63" s="13" t="s">
        <v>44</v>
      </c>
    </row>
    <row r="64" spans="2:9" ht="72" x14ac:dyDescent="0.25">
      <c r="B64" s="18" t="s">
        <v>280</v>
      </c>
      <c r="C64" s="55">
        <v>1</v>
      </c>
      <c r="D64" s="56" t="s">
        <v>104</v>
      </c>
      <c r="E64" s="79">
        <v>20000000</v>
      </c>
      <c r="F64" s="23"/>
      <c r="G64" s="79">
        <f>+C64*E64</f>
        <v>20000000</v>
      </c>
    </row>
    <row r="65" spans="2:10" ht="24" x14ac:dyDescent="0.25">
      <c r="B65" s="18"/>
      <c r="C65" s="55"/>
      <c r="D65" s="56"/>
      <c r="E65" s="79"/>
      <c r="F65" s="23"/>
      <c r="G65" s="98" t="str">
        <f>+Parámetros!C4</f>
        <v>Presupuesto relativo</v>
      </c>
    </row>
    <row r="66" spans="2:10" x14ac:dyDescent="0.25">
      <c r="B66" s="292" t="s">
        <v>107</v>
      </c>
      <c r="C66" s="293"/>
      <c r="D66" s="293"/>
      <c r="E66" s="293"/>
      <c r="F66" s="294"/>
      <c r="G66" s="128">
        <f>SUM(G64)</f>
        <v>20000000</v>
      </c>
    </row>
    <row r="69" spans="2:10" x14ac:dyDescent="0.25">
      <c r="B69" s="13" t="s">
        <v>365</v>
      </c>
      <c r="C69" s="13" t="s">
        <v>40</v>
      </c>
      <c r="D69" s="13" t="s">
        <v>41</v>
      </c>
      <c r="E69" s="13" t="s">
        <v>42</v>
      </c>
      <c r="F69" s="13" t="s">
        <v>554</v>
      </c>
      <c r="G69" s="13" t="s">
        <v>43</v>
      </c>
      <c r="H69" s="13" t="s">
        <v>44</v>
      </c>
    </row>
    <row r="70" spans="2:10" x14ac:dyDescent="0.25">
      <c r="B70" s="14" t="s">
        <v>641</v>
      </c>
      <c r="C70" s="21">
        <v>2</v>
      </c>
      <c r="D70" s="14" t="s">
        <v>100</v>
      </c>
      <c r="E70" s="77">
        <f>+Parámetros!D11</f>
        <v>11508889</v>
      </c>
      <c r="F70" s="206">
        <v>0.25</v>
      </c>
      <c r="G70" s="23">
        <v>11</v>
      </c>
      <c r="H70" s="79">
        <f>+C70*E70*G70*F70</f>
        <v>63298889.5</v>
      </c>
    </row>
    <row r="71" spans="2:10" x14ac:dyDescent="0.25">
      <c r="B71" s="56" t="s">
        <v>281</v>
      </c>
      <c r="C71" s="21"/>
      <c r="D71" s="14"/>
      <c r="E71" s="22"/>
      <c r="F71" s="22"/>
      <c r="G71" s="23"/>
      <c r="H71" s="98" t="str">
        <f>+Parámetros!C4</f>
        <v>Presupuesto relativo</v>
      </c>
    </row>
    <row r="72" spans="2:10" x14ac:dyDescent="0.25">
      <c r="B72" s="203" t="s">
        <v>107</v>
      </c>
      <c r="C72" s="204"/>
      <c r="D72" s="204"/>
      <c r="E72" s="204"/>
      <c r="F72" s="204"/>
      <c r="G72" s="205"/>
      <c r="H72" s="128">
        <f>SUM(H70:H71)</f>
        <v>63298889.5</v>
      </c>
    </row>
    <row r="73" spans="2:10" x14ac:dyDescent="0.25">
      <c r="B73" s="5" t="s">
        <v>644</v>
      </c>
    </row>
    <row r="75" spans="2:10" x14ac:dyDescent="0.25">
      <c r="B75" s="13" t="s">
        <v>366</v>
      </c>
      <c r="C75" s="13" t="s">
        <v>40</v>
      </c>
      <c r="D75" s="13" t="s">
        <v>41</v>
      </c>
      <c r="E75" s="13" t="s">
        <v>42</v>
      </c>
      <c r="F75" s="13" t="s">
        <v>43</v>
      </c>
      <c r="G75" s="13" t="s">
        <v>44</v>
      </c>
    </row>
    <row r="76" spans="2:10" x14ac:dyDescent="0.25">
      <c r="B76" s="249" t="s">
        <v>651</v>
      </c>
      <c r="C76" s="250">
        <v>3</v>
      </c>
      <c r="D76" s="250" t="s">
        <v>652</v>
      </c>
      <c r="E76" s="77">
        <v>20000000000</v>
      </c>
      <c r="F76" s="13"/>
      <c r="G76" s="251">
        <f>+C76*E76</f>
        <v>60000000000</v>
      </c>
    </row>
    <row r="77" spans="2:10" ht="24.75" x14ac:dyDescent="0.25">
      <c r="B77" s="54" t="s">
        <v>655</v>
      </c>
      <c r="C77" s="21"/>
      <c r="D77" s="14"/>
      <c r="E77" s="22"/>
      <c r="F77" s="23"/>
      <c r="G77" s="98" t="str">
        <f>+Parámetros!C4</f>
        <v>Presupuesto relativo</v>
      </c>
    </row>
    <row r="78" spans="2:10" x14ac:dyDescent="0.25">
      <c r="B78" s="292" t="s">
        <v>107</v>
      </c>
      <c r="C78" s="293"/>
      <c r="D78" s="293"/>
      <c r="E78" s="293"/>
      <c r="F78" s="294"/>
      <c r="G78" s="27"/>
    </row>
    <row r="79" spans="2:10" x14ac:dyDescent="0.25">
      <c r="B79" s="83" t="s">
        <v>653</v>
      </c>
      <c r="J79" s="81"/>
    </row>
    <row r="80" spans="2:10" x14ac:dyDescent="0.25">
      <c r="J80" s="81"/>
    </row>
  </sheetData>
  <sheetProtection sheet="1" formatCells="0" formatColumns="0" formatRows="0" insertColumns="0" insertRows="0" insertHyperlinks="0" deleteColumns="0" deleteRows="0" sort="0" autoFilter="0" pivotTables="0"/>
  <mergeCells count="3">
    <mergeCell ref="B66:F66"/>
    <mergeCell ref="B78:F78"/>
    <mergeCell ref="B54:F5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B2:X6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2.5703125" style="1" bestFit="1" customWidth="1"/>
    <col min="7" max="7" width="14.42578125" style="1" bestFit="1" customWidth="1"/>
    <col min="8" max="9" width="14.140625" style="1" bestFit="1" customWidth="1"/>
    <col min="10" max="10" width="17.85546875" style="1" bestFit="1" customWidth="1"/>
    <col min="11" max="11" width="15.140625" style="1" bestFit="1" customWidth="1"/>
    <col min="12" max="12" width="18.85546875" style="1" bestFit="1" customWidth="1"/>
    <col min="13" max="19" width="14.140625" style="1" bestFit="1" customWidth="1"/>
    <col min="20" max="22" width="11.42578125" style="1"/>
    <col min="23" max="23" width="16.28515625" style="1" bestFit="1" customWidth="1"/>
    <col min="24" max="24" width="15.140625" style="1" bestFit="1" customWidth="1"/>
    <col min="25"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detallado'!B40</f>
        <v>2.2. Consolidación de los modelos de transferencia de tecnologías, de acuerdo con las necesidades regionales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60" x14ac:dyDescent="0.25">
      <c r="B8" s="18" t="str">
        <f>+'Presupuesto detallado'!B41</f>
        <v>2.2.1. Diagnóstico de formación y capacitación de los extensionistas agropecuarios y demás profesionales; así como de los productores, operarios y trabajadores requeridos por la cadena de arroz, diferenciado por regiones y sistemas de producción</v>
      </c>
      <c r="C8" s="19" t="s">
        <v>306</v>
      </c>
      <c r="D8" s="20"/>
      <c r="E8" s="145"/>
      <c r="F8" s="145"/>
      <c r="G8" s="146">
        <f>+H22</f>
        <v>231330359.5</v>
      </c>
      <c r="H8" s="146">
        <f>+H22</f>
        <v>231330359.5</v>
      </c>
      <c r="I8" s="20"/>
      <c r="J8" s="20"/>
      <c r="K8" s="20"/>
      <c r="L8" s="20"/>
      <c r="M8" s="20"/>
      <c r="N8" s="20"/>
      <c r="O8" s="20"/>
      <c r="P8" s="20"/>
      <c r="Q8" s="20"/>
      <c r="R8" s="20"/>
      <c r="S8" s="20"/>
      <c r="T8" s="20"/>
      <c r="U8" s="20"/>
      <c r="V8" s="20"/>
      <c r="W8" s="146">
        <f>SUM(D8:V8)</f>
        <v>462660719</v>
      </c>
    </row>
    <row r="9" spans="2:24" ht="36" x14ac:dyDescent="0.25">
      <c r="B9" s="18" t="str">
        <f>+'Presupuesto detallado'!B42</f>
        <v>2.2.2. Diseño e implementación de programas de formación laboral y capacitación por competencias, a transferidores de la cadena de arroz</v>
      </c>
      <c r="C9" s="19" t="s">
        <v>595</v>
      </c>
      <c r="D9" s="20"/>
      <c r="E9" s="20"/>
      <c r="F9" s="20"/>
      <c r="G9" s="146">
        <f>+H32</f>
        <v>157030331.5</v>
      </c>
      <c r="H9" s="146">
        <f>+H32</f>
        <v>157030331.5</v>
      </c>
      <c r="I9" s="146" t="str">
        <f t="shared" ref="I9:S9" si="0">+$H$31</f>
        <v>Presupuesto relativo</v>
      </c>
      <c r="J9" s="146" t="str">
        <f t="shared" si="0"/>
        <v>Presupuesto relativo</v>
      </c>
      <c r="K9" s="146" t="str">
        <f t="shared" si="0"/>
        <v>Presupuesto relativo</v>
      </c>
      <c r="L9" s="146" t="str">
        <f t="shared" si="0"/>
        <v>Presupuesto relativo</v>
      </c>
      <c r="M9" s="146" t="str">
        <f t="shared" si="0"/>
        <v>Presupuesto relativo</v>
      </c>
      <c r="N9" s="146" t="str">
        <f t="shared" si="0"/>
        <v>Presupuesto relativo</v>
      </c>
      <c r="O9" s="146" t="str">
        <f t="shared" si="0"/>
        <v>Presupuesto relativo</v>
      </c>
      <c r="P9" s="146" t="str">
        <f t="shared" si="0"/>
        <v>Presupuesto relativo</v>
      </c>
      <c r="Q9" s="146" t="str">
        <f t="shared" si="0"/>
        <v>Presupuesto relativo</v>
      </c>
      <c r="R9" s="146" t="str">
        <f t="shared" si="0"/>
        <v>Presupuesto relativo</v>
      </c>
      <c r="S9" s="146" t="str">
        <f t="shared" si="0"/>
        <v>Presupuesto relativo</v>
      </c>
      <c r="T9" s="20"/>
      <c r="U9" s="20"/>
      <c r="V9" s="20"/>
      <c r="W9" s="146">
        <f t="shared" ref="W9:W14" si="1">SUM(D9:V9)</f>
        <v>314060663</v>
      </c>
    </row>
    <row r="10" spans="2:24" ht="48" x14ac:dyDescent="0.25">
      <c r="B10" s="18" t="str">
        <f>+'Presupuesto detallado'!B43</f>
        <v>2.2.3. Fortalecimiento de los modelos de asistencia técnica agropecuaria y extensión agropecuaria para mejorar la  transmisión de conocimientos a partir de esquemas innovadores</v>
      </c>
      <c r="C10" s="19" t="s">
        <v>282</v>
      </c>
      <c r="D10" s="20"/>
      <c r="E10" s="20"/>
      <c r="F10" s="20"/>
      <c r="G10" s="20"/>
      <c r="H10" s="20"/>
      <c r="I10" s="146">
        <f>+$G$38</f>
        <v>53040543660</v>
      </c>
      <c r="J10" s="146">
        <f t="shared" ref="J10:S10" si="2">+$G$38</f>
        <v>53040543660</v>
      </c>
      <c r="K10" s="146">
        <f t="shared" si="2"/>
        <v>53040543660</v>
      </c>
      <c r="L10" s="146">
        <f t="shared" si="2"/>
        <v>53040543660</v>
      </c>
      <c r="M10" s="146">
        <f t="shared" si="2"/>
        <v>53040543660</v>
      </c>
      <c r="N10" s="146">
        <f t="shared" si="2"/>
        <v>53040543660</v>
      </c>
      <c r="O10" s="146">
        <f t="shared" si="2"/>
        <v>53040543660</v>
      </c>
      <c r="P10" s="146">
        <f t="shared" si="2"/>
        <v>53040543660</v>
      </c>
      <c r="Q10" s="146">
        <f t="shared" si="2"/>
        <v>53040543660</v>
      </c>
      <c r="R10" s="146">
        <f t="shared" si="2"/>
        <v>53040543660</v>
      </c>
      <c r="S10" s="146">
        <f t="shared" si="2"/>
        <v>53040543660</v>
      </c>
      <c r="T10" s="20"/>
      <c r="U10" s="20"/>
      <c r="V10" s="20"/>
      <c r="W10" s="146">
        <f t="shared" si="1"/>
        <v>583445980260</v>
      </c>
    </row>
    <row r="11" spans="2:24" ht="48" x14ac:dyDescent="0.25">
      <c r="B11" s="18" t="str">
        <f>+'Presupuesto detallado'!B44</f>
        <v>2.2.4. Promoción de la creación y fortalecimiento de entidades para la prestación de servicios especializados de extensión agropecuaria, de acuerdo con las necesidades de la cadena de arroz</v>
      </c>
      <c r="C11" s="19" t="s">
        <v>289</v>
      </c>
      <c r="D11" s="20"/>
      <c r="E11" s="146"/>
      <c r="F11" s="20"/>
      <c r="G11" s="20"/>
      <c r="H11" s="20"/>
      <c r="I11" s="146">
        <f>+G43</f>
        <v>150000000</v>
      </c>
      <c r="J11" s="146">
        <f>+G43</f>
        <v>150000000</v>
      </c>
      <c r="K11" s="146">
        <f>+G43</f>
        <v>150000000</v>
      </c>
      <c r="L11" s="20"/>
      <c r="M11" s="20"/>
      <c r="N11" s="20"/>
      <c r="O11" s="20"/>
      <c r="P11" s="20"/>
      <c r="Q11" s="20"/>
      <c r="R11" s="20"/>
      <c r="S11" s="20"/>
      <c r="T11" s="20"/>
      <c r="U11" s="20"/>
      <c r="V11" s="20"/>
      <c r="W11" s="146">
        <f t="shared" si="1"/>
        <v>450000000</v>
      </c>
    </row>
    <row r="12" spans="2:24" ht="60" x14ac:dyDescent="0.25">
      <c r="B12" s="18" t="str">
        <f>+'Presupuesto detallado'!B45</f>
        <v>2.2.5. Mejora de la gestión para la articulación y coordinación de los programas y proyectos de transferencia de tecnologías, capacitación y extensión agropecuaria en los instrumentos de planificación departamental y municipal de las regiones arroceras</v>
      </c>
      <c r="C12" s="19" t="s">
        <v>374</v>
      </c>
      <c r="D12" s="20"/>
      <c r="E12" s="20"/>
      <c r="F12" s="146">
        <f>+H51</f>
        <v>94570143.699999988</v>
      </c>
      <c r="G12" s="146"/>
      <c r="H12" s="146">
        <f>+H51</f>
        <v>94570143.699999988</v>
      </c>
      <c r="I12" s="20"/>
      <c r="J12" s="20"/>
      <c r="K12" s="20"/>
      <c r="L12" s="146">
        <f>+H51</f>
        <v>94570143.699999988</v>
      </c>
      <c r="M12" s="20"/>
      <c r="N12" s="20"/>
      <c r="O12" s="20"/>
      <c r="P12" s="146">
        <f>+H51</f>
        <v>94570143.699999988</v>
      </c>
      <c r="Q12" s="20"/>
      <c r="R12" s="20"/>
      <c r="S12" s="20"/>
      <c r="T12" s="146">
        <f>+H51</f>
        <v>94570143.699999988</v>
      </c>
      <c r="U12" s="20"/>
      <c r="V12" s="20"/>
      <c r="W12" s="146">
        <f t="shared" si="1"/>
        <v>472850718.49999994</v>
      </c>
    </row>
    <row r="13" spans="2:24" ht="36" x14ac:dyDescent="0.25">
      <c r="B13" s="18" t="str">
        <f>+'Presupuesto detallado'!B46</f>
        <v>2.2.6. Diseño e implementación de un mecanismo de monitoreo del nivel de adopción e impacto de las tecnologías disponibles para la cadena de arroz</v>
      </c>
      <c r="C13" s="19" t="s">
        <v>159</v>
      </c>
      <c r="D13" s="20"/>
      <c r="E13" s="20"/>
      <c r="F13" s="146">
        <f>+G58</f>
        <v>176001804</v>
      </c>
      <c r="G13" s="146" t="str">
        <f t="shared" ref="G13:V13" si="3">+$G$57</f>
        <v>Presupuesto relativo</v>
      </c>
      <c r="H13" s="146" t="str">
        <f t="shared" si="3"/>
        <v>Presupuesto relativo</v>
      </c>
      <c r="I13" s="146" t="str">
        <f t="shared" si="3"/>
        <v>Presupuesto relativo</v>
      </c>
      <c r="J13" s="146" t="str">
        <f t="shared" si="3"/>
        <v>Presupuesto relativo</v>
      </c>
      <c r="K13" s="146" t="str">
        <f t="shared" si="3"/>
        <v>Presupuesto relativo</v>
      </c>
      <c r="L13" s="146" t="str">
        <f t="shared" si="3"/>
        <v>Presupuesto relativo</v>
      </c>
      <c r="M13" s="146" t="str">
        <f t="shared" si="3"/>
        <v>Presupuesto relativo</v>
      </c>
      <c r="N13" s="146" t="str">
        <f t="shared" si="3"/>
        <v>Presupuesto relativo</v>
      </c>
      <c r="O13" s="146" t="str">
        <f t="shared" si="3"/>
        <v>Presupuesto relativo</v>
      </c>
      <c r="P13" s="146" t="str">
        <f t="shared" si="3"/>
        <v>Presupuesto relativo</v>
      </c>
      <c r="Q13" s="146" t="str">
        <f t="shared" si="3"/>
        <v>Presupuesto relativo</v>
      </c>
      <c r="R13" s="146" t="str">
        <f t="shared" si="3"/>
        <v>Presupuesto relativo</v>
      </c>
      <c r="S13" s="146" t="str">
        <f t="shared" si="3"/>
        <v>Presupuesto relativo</v>
      </c>
      <c r="T13" s="146" t="str">
        <f t="shared" si="3"/>
        <v>Presupuesto relativo</v>
      </c>
      <c r="U13" s="146" t="str">
        <f t="shared" si="3"/>
        <v>Presupuesto relativo</v>
      </c>
      <c r="V13" s="146" t="str">
        <f t="shared" si="3"/>
        <v>Presupuesto relativo</v>
      </c>
      <c r="W13" s="146">
        <f t="shared" si="1"/>
        <v>176001804</v>
      </c>
    </row>
    <row r="14" spans="2:24" ht="36" x14ac:dyDescent="0.25">
      <c r="B14" s="18" t="str">
        <f>+'Presupuesto detallado'!B47</f>
        <v>2.2.7. Fomento del uso de herramientas tecnológicas que apoyen los procesos de transferencia de tecnologías para la cadena de arroz</v>
      </c>
      <c r="C14" s="19" t="s">
        <v>140</v>
      </c>
      <c r="D14" s="20"/>
      <c r="E14" s="20"/>
      <c r="F14" s="20"/>
      <c r="G14" s="146">
        <f>+G64</f>
        <v>160000000</v>
      </c>
      <c r="H14" s="146">
        <f>+G64</f>
        <v>160000000</v>
      </c>
      <c r="I14" s="146">
        <f>+G64</f>
        <v>160000000</v>
      </c>
      <c r="J14" s="146">
        <f>+G64</f>
        <v>160000000</v>
      </c>
      <c r="K14" s="146">
        <f>+G64</f>
        <v>160000000</v>
      </c>
      <c r="L14" s="20"/>
      <c r="M14" s="20"/>
      <c r="N14" s="20"/>
      <c r="O14" s="20"/>
      <c r="P14" s="20"/>
      <c r="Q14" s="20"/>
      <c r="R14" s="20"/>
      <c r="S14" s="20"/>
      <c r="T14" s="20"/>
      <c r="U14" s="20"/>
      <c r="V14" s="20"/>
      <c r="W14" s="146">
        <f t="shared" si="1"/>
        <v>800000000</v>
      </c>
    </row>
    <row r="15" spans="2:24" ht="24" customHeight="1" x14ac:dyDescent="0.25">
      <c r="W15" s="163">
        <f>SUM(W8:W14)</f>
        <v>586121554164.5</v>
      </c>
    </row>
    <row r="16" spans="2:24" x14ac:dyDescent="0.25">
      <c r="W16" s="163">
        <f>+'Presupuesto detallado'!V40</f>
        <v>586121554164.5</v>
      </c>
    </row>
    <row r="17" spans="2:23" x14ac:dyDescent="0.25">
      <c r="B17" s="13" t="s">
        <v>375</v>
      </c>
      <c r="C17" s="13" t="s">
        <v>40</v>
      </c>
      <c r="D17" s="13" t="s">
        <v>41</v>
      </c>
      <c r="E17" s="13" t="s">
        <v>42</v>
      </c>
      <c r="F17" s="13" t="s">
        <v>554</v>
      </c>
      <c r="G17" s="13" t="s">
        <v>43</v>
      </c>
      <c r="H17" s="13" t="s">
        <v>44</v>
      </c>
      <c r="W17" s="256">
        <f>+W15-W16</f>
        <v>0</v>
      </c>
    </row>
    <row r="18" spans="2:23" x14ac:dyDescent="0.25">
      <c r="B18" s="14" t="s">
        <v>656</v>
      </c>
      <c r="C18" s="21">
        <v>1</v>
      </c>
      <c r="D18" s="14" t="s">
        <v>100</v>
      </c>
      <c r="E18" s="77">
        <f>+Parámetros!D11</f>
        <v>11508889</v>
      </c>
      <c r="F18" s="118">
        <v>0.5</v>
      </c>
      <c r="G18" s="23">
        <v>11</v>
      </c>
      <c r="H18" s="77">
        <f>+C18*E18*G18*F18</f>
        <v>63298889.5</v>
      </c>
    </row>
    <row r="19" spans="2:23" x14ac:dyDescent="0.25">
      <c r="B19" s="14" t="s">
        <v>657</v>
      </c>
      <c r="C19" s="21">
        <v>10</v>
      </c>
      <c r="D19" s="14" t="s">
        <v>100</v>
      </c>
      <c r="E19" s="77">
        <f>+Parámetros!D14</f>
        <v>7017615</v>
      </c>
      <c r="F19" s="118">
        <v>0.5</v>
      </c>
      <c r="G19" s="23">
        <v>2</v>
      </c>
      <c r="H19" s="77">
        <f>+C19*E19*G19*F19</f>
        <v>70176150</v>
      </c>
    </row>
    <row r="20" spans="2:23" x14ac:dyDescent="0.25">
      <c r="B20" s="14" t="s">
        <v>108</v>
      </c>
      <c r="C20" s="21">
        <v>10</v>
      </c>
      <c r="D20" s="14" t="s">
        <v>194</v>
      </c>
      <c r="E20" s="77">
        <f>+Parámetros!C32</f>
        <v>1000000</v>
      </c>
      <c r="F20" s="118"/>
      <c r="G20" s="23"/>
      <c r="H20" s="77">
        <f>+C20*E20</f>
        <v>10000000</v>
      </c>
    </row>
    <row r="21" spans="2:23" x14ac:dyDescent="0.25">
      <c r="B21" s="14" t="s">
        <v>45</v>
      </c>
      <c r="C21" s="21">
        <v>80</v>
      </c>
      <c r="D21" s="14" t="s">
        <v>658</v>
      </c>
      <c r="E21" s="77">
        <f>+Parámetros!F24</f>
        <v>1098191.5</v>
      </c>
      <c r="F21" s="118"/>
      <c r="G21" s="23"/>
      <c r="H21" s="77">
        <f>+C21*E21</f>
        <v>87855320</v>
      </c>
    </row>
    <row r="22" spans="2:23" x14ac:dyDescent="0.25">
      <c r="B22" s="203" t="s">
        <v>107</v>
      </c>
      <c r="C22" s="204"/>
      <c r="D22" s="204"/>
      <c r="E22" s="204"/>
      <c r="F22" s="204"/>
      <c r="G22" s="205"/>
      <c r="H22" s="95">
        <f>SUM(H18:H21)</f>
        <v>231330359.5</v>
      </c>
    </row>
    <row r="23" spans="2:23" x14ac:dyDescent="0.25">
      <c r="B23" s="233" t="s">
        <v>659</v>
      </c>
      <c r="C23" s="59"/>
      <c r="D23" s="59"/>
      <c r="E23" s="59"/>
      <c r="F23" s="59"/>
      <c r="G23" s="253"/>
    </row>
    <row r="25" spans="2:23" x14ac:dyDescent="0.25">
      <c r="B25" s="13" t="s">
        <v>376</v>
      </c>
      <c r="C25" s="13" t="s">
        <v>40</v>
      </c>
      <c r="D25" s="13" t="s">
        <v>41</v>
      </c>
      <c r="E25" s="13" t="s">
        <v>42</v>
      </c>
      <c r="F25" s="13" t="s">
        <v>554</v>
      </c>
      <c r="G25" s="13" t="s">
        <v>43</v>
      </c>
      <c r="H25" s="13" t="s">
        <v>44</v>
      </c>
    </row>
    <row r="26" spans="2:23" x14ac:dyDescent="0.25">
      <c r="B26" s="14" t="s">
        <v>101</v>
      </c>
      <c r="C26" s="21">
        <v>1</v>
      </c>
      <c r="D26" s="14" t="s">
        <v>100</v>
      </c>
      <c r="E26" s="77">
        <f>+Parámetros!D11</f>
        <v>11508889</v>
      </c>
      <c r="F26" s="118">
        <v>0.5</v>
      </c>
      <c r="G26" s="23">
        <v>11</v>
      </c>
      <c r="H26" s="77">
        <f>+C26*E26*G26*F26</f>
        <v>63298889.5</v>
      </c>
    </row>
    <row r="27" spans="2:23" x14ac:dyDescent="0.25">
      <c r="B27" s="14" t="s">
        <v>657</v>
      </c>
      <c r="C27" s="21">
        <v>10</v>
      </c>
      <c r="D27" s="14" t="s">
        <v>100</v>
      </c>
      <c r="E27" s="77">
        <f>+Parámetros!D14</f>
        <v>7017615</v>
      </c>
      <c r="F27" s="118">
        <v>0.5</v>
      </c>
      <c r="G27" s="23">
        <v>2</v>
      </c>
      <c r="H27" s="77">
        <f>+C27*E27*G27*F27</f>
        <v>70176150</v>
      </c>
    </row>
    <row r="28" spans="2:23" x14ac:dyDescent="0.25">
      <c r="B28" s="14" t="s">
        <v>193</v>
      </c>
      <c r="C28" s="21">
        <v>3</v>
      </c>
      <c r="D28" s="14" t="s">
        <v>194</v>
      </c>
      <c r="E28" s="77">
        <f>+Parámetros!C32</f>
        <v>1000000</v>
      </c>
      <c r="F28" s="77"/>
      <c r="G28" s="23"/>
      <c r="H28" s="77">
        <f>+C28*E28</f>
        <v>3000000</v>
      </c>
    </row>
    <row r="29" spans="2:23" x14ac:dyDescent="0.25">
      <c r="B29" s="14" t="s">
        <v>45</v>
      </c>
      <c r="C29" s="21">
        <v>6</v>
      </c>
      <c r="D29" s="14" t="s">
        <v>195</v>
      </c>
      <c r="E29" s="77">
        <f>+Parámetros!F22</f>
        <v>1925882</v>
      </c>
      <c r="F29" s="77"/>
      <c r="G29" s="23"/>
      <c r="H29" s="77">
        <f>+C29*E29</f>
        <v>11555292</v>
      </c>
    </row>
    <row r="30" spans="2:23" x14ac:dyDescent="0.25">
      <c r="B30" s="14" t="s">
        <v>105</v>
      </c>
      <c r="C30" s="21">
        <v>3</v>
      </c>
      <c r="D30" s="14" t="s">
        <v>199</v>
      </c>
      <c r="E30" s="77">
        <v>3000000</v>
      </c>
      <c r="F30" s="77"/>
      <c r="G30" s="23"/>
      <c r="H30" s="77">
        <f>+C30*E30</f>
        <v>9000000</v>
      </c>
    </row>
    <row r="31" spans="2:23" ht="24.75" x14ac:dyDescent="0.25">
      <c r="B31" s="68" t="s">
        <v>198</v>
      </c>
      <c r="C31" s="106"/>
      <c r="D31" s="107"/>
      <c r="E31" s="144"/>
      <c r="F31" s="144"/>
      <c r="G31" s="108"/>
      <c r="H31" s="96" t="str">
        <f>+Parámetros!C4</f>
        <v>Presupuesto relativo</v>
      </c>
    </row>
    <row r="32" spans="2:23" x14ac:dyDescent="0.25">
      <c r="B32" s="203" t="s">
        <v>107</v>
      </c>
      <c r="C32" s="204"/>
      <c r="D32" s="204"/>
      <c r="E32" s="204"/>
      <c r="F32" s="204"/>
      <c r="G32" s="205"/>
      <c r="H32" s="95">
        <f>SUM(H26:H31)</f>
        <v>157030331.5</v>
      </c>
    </row>
    <row r="33" spans="2:12" ht="17.25" customHeight="1" x14ac:dyDescent="0.25">
      <c r="B33" s="301" t="s">
        <v>660</v>
      </c>
      <c r="C33" s="301"/>
      <c r="D33" s="301"/>
      <c r="E33" s="301"/>
      <c r="F33" s="301"/>
      <c r="G33" s="301"/>
      <c r="H33" s="301"/>
    </row>
    <row r="35" spans="2:12" x14ac:dyDescent="0.25">
      <c r="B35" s="13" t="s">
        <v>377</v>
      </c>
      <c r="C35" s="13" t="s">
        <v>40</v>
      </c>
      <c r="D35" s="13" t="s">
        <v>41</v>
      </c>
      <c r="E35" s="13" t="s">
        <v>42</v>
      </c>
      <c r="F35" s="13" t="s">
        <v>43</v>
      </c>
      <c r="G35" s="13" t="s">
        <v>44</v>
      </c>
    </row>
    <row r="36" spans="2:12" x14ac:dyDescent="0.25">
      <c r="B36" s="254" t="s">
        <v>661</v>
      </c>
      <c r="C36" s="250">
        <v>663</v>
      </c>
      <c r="D36" s="250" t="s">
        <v>646</v>
      </c>
      <c r="E36" s="77">
        <f>+Parámetros!D13</f>
        <v>8000082</v>
      </c>
      <c r="F36" s="250">
        <v>10</v>
      </c>
      <c r="G36" s="251">
        <f>+C36*E36*F36</f>
        <v>53040543660</v>
      </c>
    </row>
    <row r="37" spans="2:12" ht="36" x14ac:dyDescent="0.25">
      <c r="B37" s="122" t="s">
        <v>662</v>
      </c>
      <c r="C37" s="21"/>
      <c r="D37" s="14"/>
      <c r="E37" s="77"/>
      <c r="F37" s="23"/>
      <c r="G37" s="96" t="str">
        <f>+Parámetros!C4</f>
        <v>Presupuesto relativo</v>
      </c>
      <c r="L37" s="218"/>
    </row>
    <row r="38" spans="2:12" x14ac:dyDescent="0.25">
      <c r="B38" s="292" t="s">
        <v>107</v>
      </c>
      <c r="C38" s="293"/>
      <c r="D38" s="293"/>
      <c r="E38" s="293"/>
      <c r="F38" s="294"/>
      <c r="G38" s="255">
        <f>SUM(G36:G37)</f>
        <v>53040543660</v>
      </c>
      <c r="J38" s="81"/>
      <c r="L38" s="81"/>
    </row>
    <row r="39" spans="2:12" ht="24.75" customHeight="1" x14ac:dyDescent="0.25">
      <c r="B39" s="318" t="s">
        <v>663</v>
      </c>
      <c r="C39" s="318"/>
      <c r="D39" s="318"/>
      <c r="E39" s="318"/>
      <c r="F39" s="318"/>
      <c r="G39" s="318"/>
    </row>
    <row r="41" spans="2:12" x14ac:dyDescent="0.25">
      <c r="B41" s="13" t="s">
        <v>378</v>
      </c>
      <c r="C41" s="13" t="s">
        <v>40</v>
      </c>
      <c r="D41" s="13" t="s">
        <v>41</v>
      </c>
      <c r="E41" s="13" t="s">
        <v>42</v>
      </c>
      <c r="F41" s="13" t="s">
        <v>43</v>
      </c>
      <c r="G41" s="13" t="s">
        <v>44</v>
      </c>
    </row>
    <row r="42" spans="2:12" x14ac:dyDescent="0.25">
      <c r="B42" s="122" t="s">
        <v>205</v>
      </c>
      <c r="C42" s="21">
        <v>5</v>
      </c>
      <c r="D42" s="14" t="s">
        <v>199</v>
      </c>
      <c r="E42" s="77">
        <v>30000000</v>
      </c>
      <c r="F42" s="23"/>
      <c r="G42" s="96">
        <f>+C42*E42</f>
        <v>150000000</v>
      </c>
    </row>
    <row r="43" spans="2:12" x14ac:dyDescent="0.25">
      <c r="B43" s="292" t="s">
        <v>107</v>
      </c>
      <c r="C43" s="293"/>
      <c r="D43" s="293"/>
      <c r="E43" s="293"/>
      <c r="F43" s="294"/>
      <c r="G43" s="255">
        <f>SUM(G42)</f>
        <v>150000000</v>
      </c>
    </row>
    <row r="44" spans="2:12" x14ac:dyDescent="0.25">
      <c r="B44" s="234" t="s">
        <v>664</v>
      </c>
      <c r="C44" s="59"/>
      <c r="D44" s="59"/>
      <c r="E44" s="59"/>
      <c r="F44" s="59"/>
      <c r="G44" s="244"/>
      <c r="L44" s="81"/>
    </row>
    <row r="45" spans="2:12" x14ac:dyDescent="0.25">
      <c r="L45" s="81"/>
    </row>
    <row r="47" spans="2:12" x14ac:dyDescent="0.25">
      <c r="B47" s="13" t="s">
        <v>379</v>
      </c>
      <c r="C47" s="13" t="s">
        <v>40</v>
      </c>
      <c r="D47" s="13" t="s">
        <v>41</v>
      </c>
      <c r="E47" s="13" t="s">
        <v>42</v>
      </c>
      <c r="F47" s="13" t="s">
        <v>554</v>
      </c>
      <c r="G47" s="13" t="s">
        <v>43</v>
      </c>
      <c r="H47" s="13" t="s">
        <v>44</v>
      </c>
    </row>
    <row r="48" spans="2:12" x14ac:dyDescent="0.25">
      <c r="B48" s="14" t="s">
        <v>191</v>
      </c>
      <c r="C48" s="21">
        <v>1</v>
      </c>
      <c r="D48" s="14" t="s">
        <v>100</v>
      </c>
      <c r="E48" s="77">
        <f>+Parámetros!D11</f>
        <v>11508889</v>
      </c>
      <c r="F48" s="118">
        <v>0.3</v>
      </c>
      <c r="G48" s="23">
        <v>11</v>
      </c>
      <c r="H48" s="77">
        <f>+C48*E48*G48*F48</f>
        <v>37979333.699999996</v>
      </c>
    </row>
    <row r="49" spans="2:10" x14ac:dyDescent="0.25">
      <c r="B49" s="14" t="s">
        <v>108</v>
      </c>
      <c r="C49" s="21">
        <v>10</v>
      </c>
      <c r="D49" s="14" t="s">
        <v>194</v>
      </c>
      <c r="E49" s="77">
        <f>+Parámetros!C32</f>
        <v>1000000</v>
      </c>
      <c r="F49" s="118"/>
      <c r="G49" s="23"/>
      <c r="H49" s="77">
        <f>+C49*E49</f>
        <v>10000000</v>
      </c>
    </row>
    <row r="50" spans="2:10" x14ac:dyDescent="0.25">
      <c r="B50" s="14" t="s">
        <v>45</v>
      </c>
      <c r="C50" s="21">
        <v>20</v>
      </c>
      <c r="D50" s="14" t="s">
        <v>665</v>
      </c>
      <c r="E50" s="77">
        <f>+Parámetros!F21</f>
        <v>2329540.5</v>
      </c>
      <c r="F50" s="77"/>
      <c r="G50" s="23"/>
      <c r="H50" s="77">
        <f>+C50*E50</f>
        <v>46590810</v>
      </c>
    </row>
    <row r="51" spans="2:10" x14ac:dyDescent="0.25">
      <c r="B51" s="203" t="s">
        <v>107</v>
      </c>
      <c r="C51" s="204"/>
      <c r="D51" s="204"/>
      <c r="E51" s="204"/>
      <c r="F51" s="204"/>
      <c r="G51" s="205"/>
      <c r="H51" s="95">
        <f>SUM(H48:H50)</f>
        <v>94570143.699999988</v>
      </c>
    </row>
    <row r="54" spans="2:10" x14ac:dyDescent="0.25">
      <c r="B54" s="13" t="s">
        <v>380</v>
      </c>
      <c r="C54" s="13" t="s">
        <v>40</v>
      </c>
      <c r="D54" s="13" t="s">
        <v>41</v>
      </c>
      <c r="E54" s="13" t="s">
        <v>42</v>
      </c>
      <c r="F54" s="13" t="s">
        <v>43</v>
      </c>
      <c r="G54" s="13" t="s">
        <v>44</v>
      </c>
    </row>
    <row r="55" spans="2:10" x14ac:dyDescent="0.25">
      <c r="B55" s="14" t="s">
        <v>323</v>
      </c>
      <c r="C55" s="21">
        <v>1</v>
      </c>
      <c r="D55" s="14" t="s">
        <v>100</v>
      </c>
      <c r="E55" s="77">
        <f>+Parámetros!D13</f>
        <v>8000082</v>
      </c>
      <c r="F55" s="23">
        <v>11</v>
      </c>
      <c r="G55" s="77">
        <f>+C55*E55*F55</f>
        <v>88000902</v>
      </c>
    </row>
    <row r="56" spans="2:10" x14ac:dyDescent="0.25">
      <c r="B56" s="14" t="s">
        <v>307</v>
      </c>
      <c r="C56" s="21">
        <v>1</v>
      </c>
      <c r="D56" s="14" t="s">
        <v>100</v>
      </c>
      <c r="E56" s="77">
        <f>+Parámetros!D13</f>
        <v>8000082</v>
      </c>
      <c r="F56" s="23">
        <v>11</v>
      </c>
      <c r="G56" s="77">
        <f>+C56*E56*F56</f>
        <v>88000902</v>
      </c>
    </row>
    <row r="57" spans="2:10" ht="24.75" x14ac:dyDescent="0.25">
      <c r="B57" s="68" t="s">
        <v>198</v>
      </c>
      <c r="C57" s="106"/>
      <c r="D57" s="107"/>
      <c r="E57" s="144"/>
      <c r="F57" s="108"/>
      <c r="G57" s="96" t="str">
        <f>+Parámetros!C4</f>
        <v>Presupuesto relativo</v>
      </c>
    </row>
    <row r="58" spans="2:10" x14ac:dyDescent="0.25">
      <c r="B58" s="203" t="s">
        <v>107</v>
      </c>
      <c r="C58" s="204"/>
      <c r="D58" s="204"/>
      <c r="E58" s="204"/>
      <c r="F58" s="205"/>
      <c r="G58" s="95">
        <f>SUM(G55:G57)</f>
        <v>176001804</v>
      </c>
    </row>
    <row r="61" spans="2:10" x14ac:dyDescent="0.25">
      <c r="B61" s="13" t="s">
        <v>381</v>
      </c>
      <c r="C61" s="13" t="s">
        <v>40</v>
      </c>
      <c r="D61" s="13" t="s">
        <v>41</v>
      </c>
      <c r="E61" s="13" t="s">
        <v>42</v>
      </c>
      <c r="F61" s="13" t="s">
        <v>43</v>
      </c>
      <c r="G61" s="13" t="s">
        <v>44</v>
      </c>
    </row>
    <row r="62" spans="2:10" ht="60" x14ac:dyDescent="0.25">
      <c r="B62" s="18" t="s">
        <v>308</v>
      </c>
      <c r="C62" s="55">
        <v>1</v>
      </c>
      <c r="D62" s="56" t="s">
        <v>104</v>
      </c>
      <c r="E62" s="79">
        <v>10000000</v>
      </c>
      <c r="F62" s="23"/>
      <c r="G62" s="79">
        <f>+C62*E62</f>
        <v>10000000</v>
      </c>
    </row>
    <row r="63" spans="2:10" x14ac:dyDescent="0.25">
      <c r="B63" s="18" t="s">
        <v>205</v>
      </c>
      <c r="C63" s="55">
        <v>5</v>
      </c>
      <c r="D63" s="56" t="s">
        <v>199</v>
      </c>
      <c r="E63" s="79">
        <v>30000000</v>
      </c>
      <c r="F63" s="23"/>
      <c r="G63" s="79">
        <f>+C63*E63</f>
        <v>150000000</v>
      </c>
      <c r="J63" s="81"/>
    </row>
    <row r="64" spans="2:10" x14ac:dyDescent="0.25">
      <c r="B64" s="292" t="s">
        <v>107</v>
      </c>
      <c r="C64" s="293"/>
      <c r="D64" s="293"/>
      <c r="E64" s="293"/>
      <c r="F64" s="294"/>
      <c r="G64" s="128">
        <f>SUM(G62:G63)</f>
        <v>160000000</v>
      </c>
      <c r="J64" s="81"/>
    </row>
    <row r="65" spans="2:10" x14ac:dyDescent="0.25">
      <c r="B65" s="5"/>
      <c r="J65" s="81"/>
    </row>
    <row r="66" spans="2:10" x14ac:dyDescent="0.25">
      <c r="J66" s="81"/>
    </row>
    <row r="67" spans="2:10" x14ac:dyDescent="0.25">
      <c r="J67" s="81"/>
    </row>
  </sheetData>
  <sheetProtection sheet="1" formatCells="0" formatColumns="0" formatRows="0" insertColumns="0" insertRows="0" insertHyperlinks="0" deleteColumns="0" deleteRows="0" sort="0" autoFilter="0" pivotTables="0"/>
  <mergeCells count="5">
    <mergeCell ref="B33:H33"/>
    <mergeCell ref="B39:G39"/>
    <mergeCell ref="B64:F64"/>
    <mergeCell ref="B38:F38"/>
    <mergeCell ref="B43:F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DF26-2A47-4128-9C16-CB4AB5EB8B7A}">
  <dimension ref="B1:K34"/>
  <sheetViews>
    <sheetView tabSelected="1" workbookViewId="0">
      <selection activeCell="F17" sqref="F17"/>
    </sheetView>
  </sheetViews>
  <sheetFormatPr baseColWidth="10" defaultColWidth="11.5703125" defaultRowHeight="12" x14ac:dyDescent="0.2"/>
  <cols>
    <col min="1" max="1" width="6.140625" style="5" customWidth="1"/>
    <col min="2" max="2" width="46.7109375" style="5" customWidth="1"/>
    <col min="3" max="3" width="58.140625" style="5" customWidth="1"/>
    <col min="4" max="16384" width="11.5703125" style="5"/>
  </cols>
  <sheetData>
    <row r="1" spans="2:11" ht="24.75" customHeight="1" x14ac:dyDescent="0.2">
      <c r="B1" s="295"/>
      <c r="C1" s="295"/>
    </row>
    <row r="2" spans="2:11" ht="21" customHeight="1" x14ac:dyDescent="0.2">
      <c r="B2" s="298" t="s">
        <v>776</v>
      </c>
      <c r="C2" s="298"/>
      <c r="D2" s="88"/>
      <c r="E2" s="88"/>
      <c r="F2" s="88"/>
      <c r="G2" s="88"/>
      <c r="H2" s="88"/>
      <c r="I2" s="88"/>
      <c r="J2" s="88"/>
      <c r="K2" s="88"/>
    </row>
    <row r="3" spans="2:11" ht="13.15" customHeight="1" x14ac:dyDescent="0.2">
      <c r="B3" s="302" t="s">
        <v>752</v>
      </c>
      <c r="C3" s="302"/>
      <c r="D3" s="174"/>
      <c r="E3" s="174"/>
      <c r="F3" s="174"/>
      <c r="G3" s="174"/>
      <c r="H3" s="174"/>
      <c r="I3" s="174"/>
      <c r="J3" s="174"/>
    </row>
    <row r="4" spans="2:11" s="281" customFormat="1" ht="34.5" customHeight="1" x14ac:dyDescent="0.2">
      <c r="B4" s="302"/>
      <c r="C4" s="302"/>
      <c r="D4" s="279"/>
      <c r="E4" s="279"/>
      <c r="F4" s="279"/>
      <c r="G4" s="279"/>
      <c r="H4" s="279"/>
      <c r="I4" s="279"/>
      <c r="J4" s="279"/>
    </row>
    <row r="5" spans="2:11" s="281" customFormat="1" ht="24.75" customHeight="1" x14ac:dyDescent="0.2">
      <c r="B5" s="278"/>
      <c r="C5" s="278"/>
      <c r="D5" s="279"/>
      <c r="E5" s="279"/>
      <c r="F5" s="279"/>
      <c r="G5" s="279"/>
      <c r="H5" s="279"/>
      <c r="I5" s="279"/>
      <c r="J5" s="279"/>
    </row>
    <row r="6" spans="2:11" s="281" customFormat="1" ht="12.75" customHeight="1" x14ac:dyDescent="0.2">
      <c r="B6" s="303" t="s">
        <v>750</v>
      </c>
      <c r="C6" s="303"/>
      <c r="D6" s="279"/>
      <c r="E6" s="279"/>
      <c r="F6" s="279"/>
      <c r="G6" s="279"/>
      <c r="H6" s="279"/>
      <c r="I6" s="279"/>
      <c r="J6" s="279"/>
    </row>
    <row r="7" spans="2:11" s="281" customFormat="1" ht="79.5" customHeight="1" x14ac:dyDescent="0.2">
      <c r="B7" s="84" t="s">
        <v>55</v>
      </c>
      <c r="C7" s="18" t="s">
        <v>753</v>
      </c>
      <c r="D7" s="279"/>
      <c r="E7" s="279"/>
      <c r="F7" s="279"/>
      <c r="G7" s="279"/>
      <c r="H7" s="279"/>
      <c r="I7" s="279"/>
      <c r="J7" s="279"/>
    </row>
    <row r="8" spans="2:11" s="281" customFormat="1" ht="21.75" customHeight="1" x14ac:dyDescent="0.2">
      <c r="B8" s="278"/>
      <c r="C8" s="278"/>
      <c r="D8" s="279"/>
      <c r="E8" s="279"/>
      <c r="F8" s="279"/>
      <c r="G8" s="279"/>
      <c r="H8" s="279"/>
      <c r="I8" s="279"/>
      <c r="J8" s="279"/>
    </row>
    <row r="9" spans="2:11" s="281" customFormat="1" ht="12.75" customHeight="1" x14ac:dyDescent="0.2">
      <c r="B9" s="298" t="s">
        <v>751</v>
      </c>
      <c r="C9" s="298"/>
      <c r="D9" s="279"/>
      <c r="E9" s="279"/>
      <c r="F9" s="279"/>
      <c r="G9" s="279"/>
      <c r="H9" s="279"/>
      <c r="I9" s="279"/>
      <c r="J9" s="279"/>
    </row>
    <row r="10" spans="2:11" s="281" customFormat="1" ht="18.75" customHeight="1" x14ac:dyDescent="0.2">
      <c r="B10" s="84" t="s">
        <v>747</v>
      </c>
      <c r="C10" s="84" t="s">
        <v>55</v>
      </c>
      <c r="D10" s="279"/>
      <c r="E10" s="279"/>
      <c r="F10" s="279"/>
      <c r="G10" s="279"/>
      <c r="H10" s="279"/>
      <c r="I10" s="279"/>
      <c r="J10" s="279"/>
    </row>
    <row r="11" spans="2:11" s="281" customFormat="1" ht="35.25" customHeight="1" x14ac:dyDescent="0.2">
      <c r="B11" s="282" t="s">
        <v>36</v>
      </c>
      <c r="C11" s="18" t="s">
        <v>748</v>
      </c>
      <c r="D11" s="279"/>
      <c r="E11" s="279"/>
      <c r="F11" s="279"/>
      <c r="G11" s="279"/>
      <c r="H11" s="279"/>
      <c r="I11" s="279"/>
      <c r="J11" s="279"/>
    </row>
    <row r="12" spans="2:11" s="281" customFormat="1" ht="50.25" customHeight="1" x14ac:dyDescent="0.2">
      <c r="B12" s="175" t="s">
        <v>749</v>
      </c>
      <c r="C12" s="18" t="s">
        <v>762</v>
      </c>
      <c r="D12" s="279"/>
      <c r="E12" s="279"/>
      <c r="F12" s="279"/>
      <c r="G12" s="279"/>
      <c r="H12" s="279"/>
      <c r="I12" s="279"/>
      <c r="J12" s="279"/>
    </row>
    <row r="13" spans="2:11" s="281" customFormat="1" ht="42" customHeight="1" x14ac:dyDescent="0.2">
      <c r="B13" s="84" t="s">
        <v>35</v>
      </c>
      <c r="C13" s="18" t="s">
        <v>775</v>
      </c>
      <c r="D13" s="279"/>
      <c r="E13" s="279"/>
      <c r="F13" s="279"/>
      <c r="G13" s="279"/>
      <c r="H13" s="279"/>
      <c r="I13" s="279"/>
      <c r="J13" s="279"/>
    </row>
    <row r="14" spans="2:11" s="281" customFormat="1" ht="27.75" customHeight="1" x14ac:dyDescent="0.2">
      <c r="B14" s="278"/>
      <c r="C14" s="278"/>
      <c r="D14" s="279"/>
      <c r="E14" s="279"/>
      <c r="F14" s="279"/>
      <c r="G14" s="279"/>
      <c r="H14" s="279"/>
      <c r="I14" s="279"/>
      <c r="J14" s="279"/>
    </row>
    <row r="15" spans="2:11" ht="12.75" x14ac:dyDescent="0.2">
      <c r="B15" s="299" t="s">
        <v>754</v>
      </c>
      <c r="C15" s="300"/>
    </row>
    <row r="16" spans="2:11" x14ac:dyDescent="0.2">
      <c r="B16" s="13" t="s">
        <v>747</v>
      </c>
      <c r="C16" s="13" t="s">
        <v>55</v>
      </c>
    </row>
    <row r="17" spans="2:11" ht="36" customHeight="1" x14ac:dyDescent="0.2">
      <c r="B17" s="175" t="s">
        <v>755</v>
      </c>
      <c r="C17" s="18" t="s">
        <v>756</v>
      </c>
      <c r="D17" s="174"/>
      <c r="E17" s="174"/>
      <c r="F17" s="174"/>
      <c r="G17" s="174"/>
      <c r="H17" s="174"/>
      <c r="I17" s="174"/>
      <c r="J17" s="174"/>
    </row>
    <row r="18" spans="2:11" ht="69.75" customHeight="1" x14ac:dyDescent="0.2">
      <c r="B18" s="84" t="s">
        <v>37</v>
      </c>
      <c r="C18" s="18" t="s">
        <v>763</v>
      </c>
    </row>
    <row r="19" spans="2:11" ht="72" customHeight="1" x14ac:dyDescent="0.2">
      <c r="B19" s="84" t="s">
        <v>8</v>
      </c>
      <c r="C19" s="18" t="s">
        <v>764</v>
      </c>
    </row>
    <row r="20" spans="2:11" ht="73.5" customHeight="1" x14ac:dyDescent="0.2">
      <c r="B20" s="84" t="s">
        <v>9</v>
      </c>
      <c r="C20" s="18" t="s">
        <v>765</v>
      </c>
    </row>
    <row r="21" spans="2:11" ht="42" customHeight="1" x14ac:dyDescent="0.2">
      <c r="B21" s="84" t="s">
        <v>0</v>
      </c>
      <c r="C21" s="18" t="s">
        <v>757</v>
      </c>
    </row>
    <row r="22" spans="2:11" ht="25.5" customHeight="1" x14ac:dyDescent="0.2">
      <c r="B22" s="301"/>
      <c r="C22" s="301"/>
    </row>
    <row r="23" spans="2:11" ht="18.75" customHeight="1" x14ac:dyDescent="0.2">
      <c r="B23" s="298" t="s">
        <v>758</v>
      </c>
      <c r="C23" s="298"/>
    </row>
    <row r="24" spans="2:11" ht="35.25" customHeight="1" x14ac:dyDescent="0.2">
      <c r="B24" s="296" t="s">
        <v>761</v>
      </c>
      <c r="C24" s="297"/>
    </row>
    <row r="25" spans="2:11" ht="13.5" customHeight="1" x14ac:dyDescent="0.2">
      <c r="B25" s="84" t="s">
        <v>747</v>
      </c>
      <c r="C25" s="84" t="s">
        <v>55</v>
      </c>
    </row>
    <row r="26" spans="2:11" ht="45" customHeight="1" x14ac:dyDescent="0.2">
      <c r="B26" s="291" t="s">
        <v>759</v>
      </c>
      <c r="C26" s="280" t="s">
        <v>766</v>
      </c>
    </row>
    <row r="27" spans="2:11" ht="32.25" customHeight="1" x14ac:dyDescent="0.2">
      <c r="B27" s="291" t="s">
        <v>760</v>
      </c>
      <c r="C27" s="280" t="s">
        <v>770</v>
      </c>
    </row>
    <row r="28" spans="2:11" ht="30" customHeight="1" x14ac:dyDescent="0.2">
      <c r="B28" s="282" t="s">
        <v>39</v>
      </c>
      <c r="C28" s="18" t="s">
        <v>771</v>
      </c>
      <c r="E28" s="92"/>
      <c r="F28" s="92"/>
      <c r="G28" s="92"/>
      <c r="H28" s="92"/>
      <c r="I28" s="92"/>
      <c r="J28" s="92"/>
      <c r="K28" s="92"/>
    </row>
    <row r="29" spans="2:11" ht="20.25" customHeight="1" x14ac:dyDescent="0.2">
      <c r="B29" s="175" t="s">
        <v>38</v>
      </c>
      <c r="C29" s="18" t="s">
        <v>767</v>
      </c>
    </row>
    <row r="30" spans="2:11" ht="58.5" customHeight="1" x14ac:dyDescent="0.2">
      <c r="B30" s="84" t="s">
        <v>769</v>
      </c>
      <c r="C30" s="18" t="s">
        <v>768</v>
      </c>
    </row>
    <row r="31" spans="2:11" ht="36.75" customHeight="1" x14ac:dyDescent="0.2">
      <c r="B31" s="84" t="s">
        <v>234</v>
      </c>
      <c r="C31" s="18" t="s">
        <v>773</v>
      </c>
    </row>
    <row r="32" spans="2:11" ht="96" customHeight="1" x14ac:dyDescent="0.2">
      <c r="B32" s="84" t="s">
        <v>774</v>
      </c>
      <c r="C32" s="18" t="s">
        <v>772</v>
      </c>
    </row>
    <row r="34" spans="3:3" ht="24" x14ac:dyDescent="0.2">
      <c r="C34" s="174" t="s">
        <v>777</v>
      </c>
    </row>
  </sheetData>
  <sheetProtection algorithmName="SHA-512" hashValue="D0tQ+Ilgb+FNZa4MnbePxBI7jpuWGEnh9A08tl296BnD6aUuY8SVJuNu6sKg7jcxo4sk0COO9Qtaw8PCemS9SA==" saltValue="DOOvoScgE4HhhIQrdrH4Jw==" spinCount="100000" sheet="1" formatCells="0" formatColumns="0" formatRows="0" insertColumns="0" insertRows="0" insertHyperlinks="0" deleteColumns="0" deleteRows="0" sort="0" autoFilter="0" pivotTables="0"/>
  <mergeCells count="9">
    <mergeCell ref="B1:C1"/>
    <mergeCell ref="B24:C24"/>
    <mergeCell ref="B2:C2"/>
    <mergeCell ref="B15:C15"/>
    <mergeCell ref="B23:C23"/>
    <mergeCell ref="B22:C22"/>
    <mergeCell ref="B3:C4"/>
    <mergeCell ref="B6:C6"/>
    <mergeCell ref="B9:C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0"/>
  <dimension ref="B2:X54"/>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42578125" style="1" bestFit="1" customWidth="1"/>
    <col min="6" max="6" width="14" style="1" bestFit="1" customWidth="1"/>
    <col min="7" max="7" width="14.42578125" style="1" bestFit="1" customWidth="1"/>
    <col min="8" max="8" width="14" style="1" bestFit="1" customWidth="1"/>
    <col min="9" max="9" width="13" style="1" bestFit="1" customWidth="1"/>
    <col min="10" max="10" width="14" style="1" bestFit="1" customWidth="1"/>
    <col min="11" max="11" width="15.140625" style="1" bestFit="1" customWidth="1"/>
    <col min="12" max="12" width="13" style="1" bestFit="1" customWidth="1"/>
    <col min="13" max="13" width="14" style="1" bestFit="1" customWidth="1"/>
    <col min="14" max="14" width="13" style="1" bestFit="1" customWidth="1"/>
    <col min="15" max="15" width="13.140625" style="1" bestFit="1" customWidth="1"/>
    <col min="16" max="16" width="14" style="1" bestFit="1" customWidth="1"/>
    <col min="17" max="18" width="11.42578125" style="1"/>
    <col min="19" max="19" width="14" style="1" bestFit="1" customWidth="1"/>
    <col min="20" max="21" width="11.42578125" style="1"/>
    <col min="22" max="22" width="14"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detallado'!B48</f>
        <v>2.3. Implementación de una estrategia de buenas prácticas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detallado'!B49</f>
        <v>2.3.1. Identificación de técnicas y métodos de manejo agrícola más apropiadas para las regiones y los sistemas de producción</v>
      </c>
      <c r="C8" s="19" t="s">
        <v>309</v>
      </c>
      <c r="D8" s="20"/>
      <c r="E8" s="20"/>
      <c r="F8" s="116">
        <f>+H22</f>
        <v>126727359</v>
      </c>
      <c r="G8" s="116">
        <f>+H22</f>
        <v>126727359</v>
      </c>
      <c r="H8" s="116">
        <f>+H22</f>
        <v>126727359</v>
      </c>
      <c r="I8" s="20"/>
      <c r="J8" s="116"/>
      <c r="K8" s="20"/>
      <c r="L8" s="20"/>
      <c r="M8" s="116"/>
      <c r="N8" s="20"/>
      <c r="O8" s="20"/>
      <c r="P8" s="116"/>
      <c r="Q8" s="20"/>
      <c r="R8" s="20"/>
      <c r="S8" s="116"/>
      <c r="T8" s="20"/>
      <c r="U8" s="20"/>
      <c r="V8" s="116"/>
      <c r="W8" s="116">
        <f>SUM(D8:V8)</f>
        <v>380182077</v>
      </c>
    </row>
    <row r="9" spans="2:24" ht="48" x14ac:dyDescent="0.25">
      <c r="B9" s="18" t="str">
        <f>+'Presupuesto detallado'!B50</f>
        <v>2.3.2. Diseño y articulación de una estrategia que permita la implementación de las buenas prácticas para la cadena de arroz, en el territorio, con enfoque en la agricultura de precisión</v>
      </c>
      <c r="C9" s="19" t="s">
        <v>309</v>
      </c>
      <c r="D9" s="20"/>
      <c r="E9" s="20"/>
      <c r="F9" s="116">
        <f>+H34</f>
        <v>146727359</v>
      </c>
      <c r="G9" s="116">
        <f>+H34</f>
        <v>146727359</v>
      </c>
      <c r="H9" s="116">
        <f>+H34</f>
        <v>146727359</v>
      </c>
      <c r="I9" s="20"/>
      <c r="J9" s="20"/>
      <c r="K9" s="20"/>
      <c r="L9" s="20"/>
      <c r="M9" s="20"/>
      <c r="N9" s="20"/>
      <c r="O9" s="20"/>
      <c r="P9" s="20"/>
      <c r="Q9" s="20"/>
      <c r="R9" s="20"/>
      <c r="S9" s="20"/>
      <c r="T9" s="20"/>
      <c r="U9" s="20"/>
      <c r="V9" s="20"/>
      <c r="W9" s="116">
        <f>SUM(D9:V9)</f>
        <v>440182077</v>
      </c>
    </row>
    <row r="10" spans="2:24" ht="60" x14ac:dyDescent="0.25">
      <c r="B10" s="18" t="str">
        <f>+'Presupuesto detallado'!B51</f>
        <v>2.3.3. Revisión y ajuste de las condiciones para la certificación en BPA, acorde con el sistema de producción del arroz, generando un anexo técnico diferencial para el cultivo que considere los modelos de adopción de tecnología, estudios piloto, entre otros</v>
      </c>
      <c r="C10" s="19" t="s">
        <v>151</v>
      </c>
      <c r="D10" s="20"/>
      <c r="E10" s="20"/>
      <c r="F10" s="116">
        <f>+H41</f>
        <v>48186031.5</v>
      </c>
      <c r="G10" s="116">
        <f>+H41</f>
        <v>48186031.5</v>
      </c>
      <c r="H10" s="116">
        <f>+H41</f>
        <v>48186031.5</v>
      </c>
      <c r="I10" s="20"/>
      <c r="J10" s="20"/>
      <c r="K10" s="20"/>
      <c r="L10" s="20"/>
      <c r="M10" s="20"/>
      <c r="N10" s="20"/>
      <c r="O10" s="20"/>
      <c r="P10" s="20"/>
      <c r="Q10" s="20"/>
      <c r="R10" s="20"/>
      <c r="S10" s="20"/>
      <c r="T10" s="20"/>
      <c r="U10" s="20"/>
      <c r="V10" s="20"/>
      <c r="W10" s="116">
        <f>SUM(D10:V10)</f>
        <v>144558094.5</v>
      </c>
    </row>
    <row r="11" spans="2:24" ht="36" x14ac:dyDescent="0.25">
      <c r="B11" s="18" t="str">
        <f>+'Presupuesto detallado'!B52</f>
        <v>2.3.4. Promoción de campañas de concientización que resalten la importancia de la adopción de la Buenas Prácticas Agrícolas - BPA</v>
      </c>
      <c r="C11" s="19" t="s">
        <v>669</v>
      </c>
      <c r="D11" s="20"/>
      <c r="E11" s="117"/>
      <c r="F11" s="117">
        <f>+G47</f>
        <v>500000000</v>
      </c>
      <c r="G11" s="117">
        <f>+G47</f>
        <v>500000000</v>
      </c>
      <c r="H11" s="117"/>
      <c r="I11" s="117">
        <f>+G47</f>
        <v>500000000</v>
      </c>
      <c r="J11" s="117"/>
      <c r="K11" s="117">
        <f>+G47</f>
        <v>500000000</v>
      </c>
      <c r="L11" s="117"/>
      <c r="M11" s="117">
        <f>+G47</f>
        <v>500000000</v>
      </c>
      <c r="N11" s="117"/>
      <c r="O11" s="117">
        <f>+G47</f>
        <v>500000000</v>
      </c>
      <c r="P11" s="117"/>
      <c r="Q11" s="20"/>
      <c r="R11" s="20"/>
      <c r="S11" s="20"/>
      <c r="T11" s="20"/>
      <c r="U11" s="20"/>
      <c r="V11" s="20"/>
      <c r="W11" s="116">
        <f>SUM(D11:V11)</f>
        <v>3000000000</v>
      </c>
    </row>
    <row r="12" spans="2:24" ht="48" x14ac:dyDescent="0.25">
      <c r="B12" s="18" t="str">
        <f>+'Presupuesto detallado'!B53</f>
        <v>2.3.5. Promoción para la implementación de las Buenas Prácticas de Manufactura y sistemas integrados de gestión de la calidad en la industria Molinera y su certificación</v>
      </c>
      <c r="C12" s="19" t="s">
        <v>140</v>
      </c>
      <c r="D12" s="20"/>
      <c r="E12" s="20"/>
      <c r="F12" s="20"/>
      <c r="G12" s="116">
        <f>+G52</f>
        <v>90000000</v>
      </c>
      <c r="H12" s="116">
        <f>+G52</f>
        <v>90000000</v>
      </c>
      <c r="I12" s="116">
        <f>+G52</f>
        <v>90000000</v>
      </c>
      <c r="J12" s="116">
        <f>+G52</f>
        <v>90000000</v>
      </c>
      <c r="K12" s="116">
        <f>+G52</f>
        <v>90000000</v>
      </c>
      <c r="L12" s="116"/>
      <c r="M12" s="116"/>
      <c r="N12" s="116"/>
      <c r="O12" s="20"/>
      <c r="P12" s="20"/>
      <c r="Q12" s="20"/>
      <c r="R12" s="20"/>
      <c r="S12" s="20"/>
      <c r="T12" s="20"/>
      <c r="U12" s="20"/>
      <c r="V12" s="20"/>
      <c r="W12" s="116">
        <f>SUM(D12:V12)</f>
        <v>450000000</v>
      </c>
    </row>
    <row r="13" spans="2:24" ht="24" customHeight="1" x14ac:dyDescent="0.25">
      <c r="W13" s="156">
        <f>SUM(W8:W12)</f>
        <v>4414922248.5</v>
      </c>
    </row>
    <row r="14" spans="2:24" x14ac:dyDescent="0.25">
      <c r="B14" s="13" t="s">
        <v>387</v>
      </c>
      <c r="C14" s="13" t="s">
        <v>40</v>
      </c>
      <c r="D14" s="13" t="s">
        <v>41</v>
      </c>
      <c r="E14" s="13" t="s">
        <v>42</v>
      </c>
      <c r="F14" s="13" t="s">
        <v>554</v>
      </c>
      <c r="G14" s="13" t="s">
        <v>43</v>
      </c>
      <c r="H14" s="13" t="s">
        <v>44</v>
      </c>
      <c r="I14" s="5"/>
      <c r="W14" s="156">
        <f>+'Presupuesto detallado'!V48</f>
        <v>4414922248.5</v>
      </c>
    </row>
    <row r="15" spans="2:24" x14ac:dyDescent="0.25">
      <c r="B15" s="14" t="s">
        <v>305</v>
      </c>
      <c r="C15" s="21">
        <v>1</v>
      </c>
      <c r="D15" s="14" t="s">
        <v>100</v>
      </c>
      <c r="E15" s="77">
        <f>+Parámetros!D12</f>
        <v>10245720</v>
      </c>
      <c r="F15" s="118">
        <v>0.5</v>
      </c>
      <c r="G15" s="77">
        <v>11</v>
      </c>
      <c r="H15" s="77">
        <f>+C15*E15*G15*F15</f>
        <v>56351460</v>
      </c>
      <c r="I15" s="5"/>
      <c r="W15" s="220">
        <f>+W13-W14</f>
        <v>0</v>
      </c>
    </row>
    <row r="16" spans="2:24" x14ac:dyDescent="0.25">
      <c r="B16" s="14" t="s">
        <v>557</v>
      </c>
      <c r="C16" s="21">
        <v>1</v>
      </c>
      <c r="D16" s="14" t="s">
        <v>100</v>
      </c>
      <c r="E16" s="77">
        <f>+Parámetros!D15</f>
        <v>6456206</v>
      </c>
      <c r="F16" s="118">
        <v>0.5</v>
      </c>
      <c r="G16" s="77">
        <v>11</v>
      </c>
      <c r="H16" s="77">
        <f>+C16*E16*G16*F16</f>
        <v>35509133</v>
      </c>
      <c r="I16" s="5"/>
    </row>
    <row r="17" spans="2:9" x14ac:dyDescent="0.25">
      <c r="B17" s="14" t="s">
        <v>252</v>
      </c>
      <c r="C17" s="21">
        <v>2</v>
      </c>
      <c r="D17" s="14" t="s">
        <v>194</v>
      </c>
      <c r="E17" s="77">
        <f>+Parámetros!C33</f>
        <v>3000000</v>
      </c>
      <c r="F17" s="118"/>
      <c r="G17" s="77"/>
      <c r="H17" s="77">
        <f>+C17*E17</f>
        <v>6000000</v>
      </c>
      <c r="I17" s="5"/>
    </row>
    <row r="18" spans="2:9" x14ac:dyDescent="0.25">
      <c r="B18" s="14" t="s">
        <v>45</v>
      </c>
      <c r="C18" s="21">
        <v>4</v>
      </c>
      <c r="D18" s="14" t="s">
        <v>195</v>
      </c>
      <c r="E18" s="77">
        <f>270*3300*3.5</f>
        <v>3118500</v>
      </c>
      <c r="F18" s="118"/>
      <c r="G18" s="77"/>
      <c r="H18" s="77">
        <f>+C18*E18</f>
        <v>12474000</v>
      </c>
      <c r="I18" s="5"/>
    </row>
    <row r="19" spans="2:9" x14ac:dyDescent="0.25">
      <c r="B19" s="14" t="s">
        <v>105</v>
      </c>
      <c r="C19" s="21">
        <v>2</v>
      </c>
      <c r="D19" s="14" t="s">
        <v>199</v>
      </c>
      <c r="E19" s="77">
        <v>5000000</v>
      </c>
      <c r="F19" s="118"/>
      <c r="G19" s="77"/>
      <c r="H19" s="77">
        <f>+C19*E19</f>
        <v>10000000</v>
      </c>
      <c r="I19" s="5"/>
    </row>
    <row r="20" spans="2:9" x14ac:dyDescent="0.25">
      <c r="B20" s="14" t="s">
        <v>193</v>
      </c>
      <c r="C20" s="21">
        <v>2</v>
      </c>
      <c r="D20" s="14" t="s">
        <v>194</v>
      </c>
      <c r="E20" s="77">
        <f>+Parámetros!C32</f>
        <v>1000000</v>
      </c>
      <c r="F20" s="118"/>
      <c r="G20" s="23"/>
      <c r="H20" s="77">
        <f>+C20*E20</f>
        <v>2000000</v>
      </c>
      <c r="I20" s="28"/>
    </row>
    <row r="21" spans="2:9" x14ac:dyDescent="0.25">
      <c r="B21" s="14" t="s">
        <v>45</v>
      </c>
      <c r="C21" s="21">
        <v>4</v>
      </c>
      <c r="D21" s="14" t="s">
        <v>195</v>
      </c>
      <c r="E21" s="77">
        <f>+Parámetros!F25</f>
        <v>1098191.5</v>
      </c>
      <c r="F21" s="118"/>
      <c r="G21" s="23"/>
      <c r="H21" s="77">
        <f>+C21*E21</f>
        <v>4392766</v>
      </c>
      <c r="I21" s="5"/>
    </row>
    <row r="22" spans="2:9" x14ac:dyDescent="0.25">
      <c r="B22" s="24" t="s">
        <v>46</v>
      </c>
      <c r="C22" s="25"/>
      <c r="D22" s="14"/>
      <c r="E22" s="13"/>
      <c r="F22" s="13"/>
      <c r="G22" s="13"/>
      <c r="H22" s="26">
        <f>SUM(H15:H21)</f>
        <v>126727359</v>
      </c>
      <c r="I22" s="5"/>
    </row>
    <row r="23" spans="2:9" x14ac:dyDescent="0.25">
      <c r="B23" s="5"/>
      <c r="C23" s="5"/>
      <c r="D23" s="5"/>
      <c r="E23" s="5"/>
      <c r="F23" s="5"/>
      <c r="G23" s="5"/>
      <c r="H23" s="5"/>
    </row>
    <row r="24" spans="2:9" x14ac:dyDescent="0.25">
      <c r="B24" s="5"/>
      <c r="C24" s="5"/>
      <c r="D24" s="5"/>
      <c r="E24" s="5"/>
      <c r="F24" s="5"/>
      <c r="G24" s="5"/>
      <c r="H24" s="5"/>
    </row>
    <row r="25" spans="2:9" x14ac:dyDescent="0.25">
      <c r="B25" s="13" t="s">
        <v>388</v>
      </c>
      <c r="C25" s="13" t="s">
        <v>40</v>
      </c>
      <c r="D25" s="13" t="s">
        <v>41</v>
      </c>
      <c r="E25" s="13" t="s">
        <v>42</v>
      </c>
      <c r="F25" s="13" t="s">
        <v>554</v>
      </c>
      <c r="G25" s="13" t="s">
        <v>43</v>
      </c>
      <c r="H25" s="13" t="s">
        <v>44</v>
      </c>
    </row>
    <row r="26" spans="2:9" x14ac:dyDescent="0.25">
      <c r="B26" s="14" t="s">
        <v>305</v>
      </c>
      <c r="C26" s="21">
        <v>1</v>
      </c>
      <c r="D26" s="14" t="s">
        <v>100</v>
      </c>
      <c r="E26" s="77">
        <f>+Parámetros!D12</f>
        <v>10245720</v>
      </c>
      <c r="F26" s="118">
        <v>0.5</v>
      </c>
      <c r="G26" s="77">
        <v>11</v>
      </c>
      <c r="H26" s="77">
        <f>+C26*E26*G26*F26</f>
        <v>56351460</v>
      </c>
    </row>
    <row r="27" spans="2:9" x14ac:dyDescent="0.25">
      <c r="B27" s="14" t="s">
        <v>557</v>
      </c>
      <c r="C27" s="21">
        <v>1</v>
      </c>
      <c r="D27" s="14" t="s">
        <v>100</v>
      </c>
      <c r="E27" s="77">
        <f>+Parámetros!D15</f>
        <v>6456206</v>
      </c>
      <c r="F27" s="118">
        <v>0.5</v>
      </c>
      <c r="G27" s="77">
        <v>11</v>
      </c>
      <c r="H27" s="77">
        <f>+C27*E27*G27*F27</f>
        <v>35509133</v>
      </c>
    </row>
    <row r="28" spans="2:9" x14ac:dyDescent="0.25">
      <c r="B28" s="14" t="s">
        <v>252</v>
      </c>
      <c r="C28" s="21">
        <v>2</v>
      </c>
      <c r="D28" s="14" t="s">
        <v>194</v>
      </c>
      <c r="E28" s="77">
        <f>+Parámetros!C33</f>
        <v>3000000</v>
      </c>
      <c r="F28" s="118"/>
      <c r="G28" s="77"/>
      <c r="H28" s="77">
        <f t="shared" ref="H28:H33" si="0">+C28*E28</f>
        <v>6000000</v>
      </c>
    </row>
    <row r="29" spans="2:9" x14ac:dyDescent="0.25">
      <c r="B29" s="14" t="s">
        <v>45</v>
      </c>
      <c r="C29" s="21">
        <v>4</v>
      </c>
      <c r="D29" s="14" t="s">
        <v>195</v>
      </c>
      <c r="E29" s="77">
        <f>270*3300*3.5</f>
        <v>3118500</v>
      </c>
      <c r="F29" s="118"/>
      <c r="G29" s="77"/>
      <c r="H29" s="77">
        <f t="shared" si="0"/>
        <v>12474000</v>
      </c>
    </row>
    <row r="30" spans="2:9" x14ac:dyDescent="0.25">
      <c r="B30" s="14" t="s">
        <v>105</v>
      </c>
      <c r="C30" s="21">
        <v>2</v>
      </c>
      <c r="D30" s="14" t="s">
        <v>199</v>
      </c>
      <c r="E30" s="77">
        <v>5000000</v>
      </c>
      <c r="F30" s="118"/>
      <c r="G30" s="77"/>
      <c r="H30" s="77">
        <f t="shared" si="0"/>
        <v>10000000</v>
      </c>
    </row>
    <row r="31" spans="2:9" x14ac:dyDescent="0.25">
      <c r="B31" s="14" t="s">
        <v>193</v>
      </c>
      <c r="C31" s="21">
        <v>2</v>
      </c>
      <c r="D31" s="14" t="s">
        <v>194</v>
      </c>
      <c r="E31" s="77">
        <f>+Parámetros!C32</f>
        <v>1000000</v>
      </c>
      <c r="F31" s="118"/>
      <c r="G31" s="23"/>
      <c r="H31" s="77">
        <f t="shared" si="0"/>
        <v>2000000</v>
      </c>
    </row>
    <row r="32" spans="2:9" x14ac:dyDescent="0.25">
      <c r="B32" s="14" t="s">
        <v>45</v>
      </c>
      <c r="C32" s="21">
        <v>4</v>
      </c>
      <c r="D32" s="14" t="s">
        <v>195</v>
      </c>
      <c r="E32" s="77">
        <f>+Parámetros!F25</f>
        <v>1098191.5</v>
      </c>
      <c r="F32" s="118"/>
      <c r="G32" s="23"/>
      <c r="H32" s="77">
        <f t="shared" si="0"/>
        <v>4392766</v>
      </c>
    </row>
    <row r="33" spans="2:11" x14ac:dyDescent="0.25">
      <c r="B33" s="14" t="s">
        <v>310</v>
      </c>
      <c r="C33" s="21">
        <v>2</v>
      </c>
      <c r="D33" s="14" t="s">
        <v>199</v>
      </c>
      <c r="E33" s="77">
        <v>10000000</v>
      </c>
      <c r="F33" s="118"/>
      <c r="G33" s="23"/>
      <c r="H33" s="77">
        <f t="shared" si="0"/>
        <v>20000000</v>
      </c>
    </row>
    <row r="34" spans="2:11" x14ac:dyDescent="0.25">
      <c r="B34" s="139" t="s">
        <v>46</v>
      </c>
      <c r="C34" s="25"/>
      <c r="D34" s="14"/>
      <c r="E34" s="13"/>
      <c r="F34" s="13"/>
      <c r="G34" s="13"/>
      <c r="H34" s="26">
        <f>SUM(H26:H33)</f>
        <v>146727359</v>
      </c>
    </row>
    <row r="35" spans="2:11" x14ac:dyDescent="0.25">
      <c r="B35" s="59"/>
      <c r="C35" s="90"/>
      <c r="D35" s="91"/>
      <c r="E35" s="92"/>
      <c r="F35" s="92"/>
      <c r="G35" s="93"/>
    </row>
    <row r="36" spans="2:11" x14ac:dyDescent="0.25">
      <c r="B36" s="59"/>
      <c r="C36" s="90"/>
      <c r="D36" s="91"/>
      <c r="E36" s="92"/>
      <c r="F36" s="92"/>
      <c r="G36" s="93"/>
    </row>
    <row r="37" spans="2:11" x14ac:dyDescent="0.25">
      <c r="B37" s="13" t="s">
        <v>391</v>
      </c>
      <c r="C37" s="13" t="s">
        <v>40</v>
      </c>
      <c r="D37" s="13" t="s">
        <v>41</v>
      </c>
      <c r="E37" s="13" t="s">
        <v>42</v>
      </c>
      <c r="F37" s="13" t="s">
        <v>554</v>
      </c>
      <c r="G37" s="13" t="s">
        <v>43</v>
      </c>
      <c r="H37" s="13" t="s">
        <v>44</v>
      </c>
    </row>
    <row r="38" spans="2:11" x14ac:dyDescent="0.25">
      <c r="B38" s="14" t="s">
        <v>666</v>
      </c>
      <c r="C38" s="21">
        <v>1</v>
      </c>
      <c r="D38" s="14" t="s">
        <v>100</v>
      </c>
      <c r="E38" s="77">
        <f>+Parámetros!D14</f>
        <v>7017615</v>
      </c>
      <c r="F38" s="118">
        <v>0.5</v>
      </c>
      <c r="G38" s="23">
        <v>11</v>
      </c>
      <c r="H38" s="77">
        <f>+C38*E38*G38*F38</f>
        <v>38596882.5</v>
      </c>
    </row>
    <row r="39" spans="2:11" x14ac:dyDescent="0.25">
      <c r="B39" s="14" t="s">
        <v>193</v>
      </c>
      <c r="C39" s="21">
        <v>3</v>
      </c>
      <c r="D39" s="14" t="s">
        <v>194</v>
      </c>
      <c r="E39" s="77">
        <f>+Parámetros!C32</f>
        <v>1000000</v>
      </c>
      <c r="F39" s="77"/>
      <c r="G39" s="23"/>
      <c r="H39" s="77">
        <f>+C39*E39</f>
        <v>3000000</v>
      </c>
    </row>
    <row r="40" spans="2:11" x14ac:dyDescent="0.25">
      <c r="B40" s="14" t="s">
        <v>45</v>
      </c>
      <c r="C40" s="21">
        <v>6</v>
      </c>
      <c r="D40" s="14" t="s">
        <v>195</v>
      </c>
      <c r="E40" s="77">
        <f>+Parámetros!F24</f>
        <v>1098191.5</v>
      </c>
      <c r="F40" s="77"/>
      <c r="G40" s="23"/>
      <c r="H40" s="77">
        <f>+C40*E40</f>
        <v>6589149</v>
      </c>
    </row>
    <row r="41" spans="2:11" x14ac:dyDescent="0.25">
      <c r="B41" s="139" t="s">
        <v>46</v>
      </c>
      <c r="C41" s="25"/>
      <c r="D41" s="14"/>
      <c r="E41" s="13"/>
      <c r="F41" s="13"/>
      <c r="G41" s="13"/>
      <c r="H41" s="26">
        <f>SUM(H38:H40)</f>
        <v>48186031.5</v>
      </c>
    </row>
    <row r="42" spans="2:11" x14ac:dyDescent="0.25">
      <c r="B42" s="59"/>
      <c r="C42" s="90"/>
      <c r="D42" s="91"/>
      <c r="E42" s="92"/>
      <c r="F42" s="92"/>
      <c r="G42" s="93"/>
    </row>
    <row r="43" spans="2:11" x14ac:dyDescent="0.25">
      <c r="B43" s="59"/>
      <c r="C43" s="90"/>
      <c r="D43" s="91"/>
      <c r="E43" s="92"/>
      <c r="F43" s="92"/>
      <c r="G43" s="93"/>
    </row>
    <row r="44" spans="2:11" x14ac:dyDescent="0.25">
      <c r="B44" s="13" t="s">
        <v>389</v>
      </c>
      <c r="C44" s="13" t="s">
        <v>40</v>
      </c>
      <c r="D44" s="13" t="s">
        <v>41</v>
      </c>
      <c r="E44" s="13" t="s">
        <v>42</v>
      </c>
      <c r="F44" s="13" t="s">
        <v>43</v>
      </c>
      <c r="G44" s="13" t="s">
        <v>44</v>
      </c>
    </row>
    <row r="45" spans="2:11" x14ac:dyDescent="0.25">
      <c r="B45" s="254" t="s">
        <v>667</v>
      </c>
      <c r="C45" s="257">
        <v>25</v>
      </c>
      <c r="D45" s="250" t="s">
        <v>104</v>
      </c>
      <c r="E45" s="77">
        <v>20000000</v>
      </c>
      <c r="F45" s="13"/>
      <c r="G45" s="258">
        <f>+C45*E45</f>
        <v>500000000</v>
      </c>
    </row>
    <row r="46" spans="2:11" ht="24.75" x14ac:dyDescent="0.25">
      <c r="B46" s="122" t="s">
        <v>311</v>
      </c>
      <c r="C46" s="21"/>
      <c r="D46" s="14"/>
      <c r="E46" s="77"/>
      <c r="F46" s="23"/>
      <c r="G46" s="96" t="str">
        <f>+Parámetros!C4</f>
        <v>Presupuesto relativo</v>
      </c>
      <c r="K46" s="81"/>
    </row>
    <row r="47" spans="2:11" x14ac:dyDescent="0.25">
      <c r="B47" s="292" t="s">
        <v>107</v>
      </c>
      <c r="C47" s="293"/>
      <c r="D47" s="293"/>
      <c r="E47" s="293"/>
      <c r="F47" s="294"/>
      <c r="G47" s="96">
        <f>SUM(G45:G46)</f>
        <v>500000000</v>
      </c>
      <c r="K47" s="81"/>
    </row>
    <row r="48" spans="2:11" x14ac:dyDescent="0.25">
      <c r="B48" s="233" t="s">
        <v>668</v>
      </c>
      <c r="C48" s="90"/>
      <c r="D48" s="91"/>
      <c r="E48" s="92"/>
      <c r="F48" s="92"/>
      <c r="G48" s="93"/>
      <c r="K48" s="81"/>
    </row>
    <row r="49" spans="2:11" x14ac:dyDescent="0.25">
      <c r="K49" s="81"/>
    </row>
    <row r="50" spans="2:11" x14ac:dyDescent="0.25">
      <c r="B50" s="13" t="s">
        <v>390</v>
      </c>
      <c r="C50" s="13" t="s">
        <v>40</v>
      </c>
      <c r="D50" s="13" t="s">
        <v>41</v>
      </c>
      <c r="E50" s="13" t="s">
        <v>42</v>
      </c>
      <c r="F50" s="13" t="s">
        <v>43</v>
      </c>
      <c r="G50" s="13" t="s">
        <v>44</v>
      </c>
    </row>
    <row r="51" spans="2:11" ht="72" x14ac:dyDescent="0.25">
      <c r="B51" s="18" t="s">
        <v>312</v>
      </c>
      <c r="C51" s="55">
        <v>3</v>
      </c>
      <c r="D51" s="56" t="s">
        <v>199</v>
      </c>
      <c r="E51" s="79">
        <v>30000000</v>
      </c>
      <c r="F51" s="80"/>
      <c r="G51" s="79">
        <f>+C51*E51</f>
        <v>90000000</v>
      </c>
    </row>
    <row r="52" spans="2:11" x14ac:dyDescent="0.25">
      <c r="B52" s="139" t="s">
        <v>46</v>
      </c>
      <c r="C52" s="25"/>
      <c r="D52" s="14"/>
      <c r="E52" s="13"/>
      <c r="F52" s="13"/>
      <c r="G52" s="26">
        <f>SUM(G51:G51)</f>
        <v>90000000</v>
      </c>
    </row>
    <row r="53" spans="2:11" x14ac:dyDescent="0.25">
      <c r="K53" s="81"/>
    </row>
    <row r="54" spans="2:11" x14ac:dyDescent="0.25">
      <c r="K54" s="81"/>
    </row>
  </sheetData>
  <sheetProtection sheet="1" formatCells="0" formatColumns="0" formatRows="0" insertColumns="0" insertRows="0" insertHyperlinks="0" deleteColumns="0" deleteRows="0" sort="0" autoFilter="0" pivotTables="0"/>
  <mergeCells count="1">
    <mergeCell ref="B47:F4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2"/>
  <dimension ref="B2:X55"/>
  <sheetViews>
    <sheetView workbookViewId="0">
      <selection activeCell="F17" sqref="F17"/>
    </sheetView>
  </sheetViews>
  <sheetFormatPr baseColWidth="10" defaultRowHeight="15" x14ac:dyDescent="0.25"/>
  <cols>
    <col min="1" max="1" width="5.140625" style="1" customWidth="1"/>
    <col min="2" max="2" width="46.85546875" style="1" customWidth="1"/>
    <col min="3" max="3" width="17.140625" style="1" customWidth="1"/>
    <col min="4" max="4" width="13.85546875" style="1" customWidth="1"/>
    <col min="5" max="5" width="17" style="1" bestFit="1" customWidth="1"/>
    <col min="6" max="6" width="13.42578125" style="1" bestFit="1" customWidth="1"/>
    <col min="7" max="7" width="14" style="1" bestFit="1" customWidth="1"/>
    <col min="8" max="8" width="17.85546875" style="1" bestFit="1" customWidth="1"/>
    <col min="9" max="9" width="14" style="1" bestFit="1" customWidth="1"/>
    <col min="10" max="10" width="15.140625" style="1" bestFit="1" customWidth="1"/>
    <col min="11" max="11" width="17.42578125" style="1" customWidth="1"/>
    <col min="12" max="22" width="13.42578125" style="1" bestFit="1" customWidth="1"/>
    <col min="23" max="23" width="14.1406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detallado'!B55</f>
        <v>3.1. Aumento del uso de semilla certificada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detallado'!B56</f>
        <v>3.1.1. Diseño e implementación de campañas articuladas de promoción del uso de semilla certificada, diferenciadas por regiones arroceras</v>
      </c>
      <c r="C8" s="19" t="s">
        <v>156</v>
      </c>
      <c r="D8" s="20"/>
      <c r="E8" s="137">
        <f>+G14</f>
        <v>112702920</v>
      </c>
      <c r="F8" s="137">
        <f>+G17</f>
        <v>300000000</v>
      </c>
      <c r="G8" s="137">
        <f>+G17</f>
        <v>300000000</v>
      </c>
      <c r="H8" s="137">
        <f>+G17</f>
        <v>300000000</v>
      </c>
      <c r="I8" s="137">
        <f>+G17</f>
        <v>300000000</v>
      </c>
      <c r="J8" s="20"/>
      <c r="K8" s="20"/>
      <c r="L8" s="20"/>
      <c r="M8" s="20"/>
      <c r="N8" s="20"/>
      <c r="O8" s="20"/>
      <c r="P8" s="20"/>
      <c r="Q8" s="20"/>
      <c r="R8" s="20"/>
      <c r="S8" s="20"/>
      <c r="T8" s="20"/>
      <c r="U8" s="20"/>
      <c r="V8" s="20"/>
      <c r="W8" s="137">
        <f>SUM(D8:V8)</f>
        <v>1312702920</v>
      </c>
    </row>
    <row r="9" spans="2:24" ht="36" x14ac:dyDescent="0.25">
      <c r="B9" s="18" t="str">
        <f>+'Presupuesto detallado'!B57</f>
        <v>3.1.2. Aumento de brigadas para el control en la comercialización y uso de semilla no certificada en épocas de siembra, según el sistema de producción</v>
      </c>
      <c r="C9" s="19" t="s">
        <v>119</v>
      </c>
      <c r="D9" s="20"/>
      <c r="E9" s="137">
        <f>+$H$27</f>
        <v>1254491408.5</v>
      </c>
      <c r="F9" s="137">
        <f t="shared" ref="F9:V9" si="0">+$H$27</f>
        <v>1254491408.5</v>
      </c>
      <c r="G9" s="137">
        <f t="shared" si="0"/>
        <v>1254491408.5</v>
      </c>
      <c r="H9" s="137">
        <f t="shared" si="0"/>
        <v>1254491408.5</v>
      </c>
      <c r="I9" s="137">
        <f t="shared" si="0"/>
        <v>1254491408.5</v>
      </c>
      <c r="J9" s="137">
        <f t="shared" si="0"/>
        <v>1254491408.5</v>
      </c>
      <c r="K9" s="137">
        <f t="shared" si="0"/>
        <v>1254491408.5</v>
      </c>
      <c r="L9" s="137">
        <f t="shared" si="0"/>
        <v>1254491408.5</v>
      </c>
      <c r="M9" s="137">
        <f t="shared" si="0"/>
        <v>1254491408.5</v>
      </c>
      <c r="N9" s="137">
        <f t="shared" si="0"/>
        <v>1254491408.5</v>
      </c>
      <c r="O9" s="137">
        <f t="shared" si="0"/>
        <v>1254491408.5</v>
      </c>
      <c r="P9" s="137">
        <f t="shared" si="0"/>
        <v>1254491408.5</v>
      </c>
      <c r="Q9" s="137">
        <f t="shared" si="0"/>
        <v>1254491408.5</v>
      </c>
      <c r="R9" s="137">
        <f t="shared" si="0"/>
        <v>1254491408.5</v>
      </c>
      <c r="S9" s="137">
        <f t="shared" si="0"/>
        <v>1254491408.5</v>
      </c>
      <c r="T9" s="137">
        <f t="shared" si="0"/>
        <v>1254491408.5</v>
      </c>
      <c r="U9" s="137">
        <f t="shared" si="0"/>
        <v>1254491408.5</v>
      </c>
      <c r="V9" s="137">
        <f t="shared" si="0"/>
        <v>1254491408.5</v>
      </c>
      <c r="W9" s="137">
        <f>SUM(D9:V9)</f>
        <v>22580845353</v>
      </c>
    </row>
    <row r="10" spans="2:24" ht="60" x14ac:dyDescent="0.25">
      <c r="B10" s="18" t="str">
        <f>+'Presupuesto detallado'!B58</f>
        <v>3.1.3. Diseño e implementación de una estrategia que desarrolle mecanismos, para la protección efectiva de los derechos de obtentores (trazabilidad a través del uso de marcadores moleculares), a nivel interinstitucional de toda la cadena de arroz</v>
      </c>
      <c r="C10" s="19" t="s">
        <v>596</v>
      </c>
      <c r="D10" s="20"/>
      <c r="E10" s="137">
        <f>+G31</f>
        <v>200000000</v>
      </c>
      <c r="F10" s="138">
        <f>+G31</f>
        <v>200000000</v>
      </c>
      <c r="G10" s="138">
        <f>+G32</f>
        <v>25000000</v>
      </c>
      <c r="H10" s="138">
        <f>+G32</f>
        <v>25000000</v>
      </c>
      <c r="I10" s="138">
        <f>+G32</f>
        <v>25000000</v>
      </c>
      <c r="J10" s="138">
        <f>+G32</f>
        <v>25000000</v>
      </c>
      <c r="K10" s="138">
        <f>+G32</f>
        <v>25000000</v>
      </c>
      <c r="L10" s="138">
        <f>+G32</f>
        <v>25000000</v>
      </c>
      <c r="M10" s="138">
        <f>+G32</f>
        <v>25000000</v>
      </c>
      <c r="N10" s="138">
        <f>+G32</f>
        <v>25000000</v>
      </c>
      <c r="O10" s="138">
        <f>+G32</f>
        <v>25000000</v>
      </c>
      <c r="P10" s="138">
        <f>+G32</f>
        <v>25000000</v>
      </c>
      <c r="Q10" s="138">
        <f>+G32</f>
        <v>25000000</v>
      </c>
      <c r="R10" s="20"/>
      <c r="S10" s="20"/>
      <c r="T10" s="20"/>
      <c r="U10" s="20"/>
      <c r="V10" s="20"/>
      <c r="W10" s="137">
        <f>SUM(D10:V10)</f>
        <v>675000000</v>
      </c>
    </row>
    <row r="11" spans="2:24" ht="36" x14ac:dyDescent="0.25">
      <c r="B11" s="18" t="str">
        <f>+'Presupuesto detallado'!B59</f>
        <v>3.1.4. Fomento del uso de semilla certificada, incluida la promoción a través de los instrumentos de política pública</v>
      </c>
      <c r="C11" s="19" t="s">
        <v>97</v>
      </c>
      <c r="D11" s="20"/>
      <c r="E11" s="138">
        <f>+$H$39</f>
        <v>44000451</v>
      </c>
      <c r="F11" s="138">
        <f t="shared" ref="F11:P11" si="1">+$H$39</f>
        <v>44000451</v>
      </c>
      <c r="G11" s="138">
        <f t="shared" si="1"/>
        <v>44000451</v>
      </c>
      <c r="H11" s="138">
        <f t="shared" si="1"/>
        <v>44000451</v>
      </c>
      <c r="I11" s="138">
        <f t="shared" si="1"/>
        <v>44000451</v>
      </c>
      <c r="J11" s="138">
        <f t="shared" si="1"/>
        <v>44000451</v>
      </c>
      <c r="K11" s="138">
        <f t="shared" si="1"/>
        <v>44000451</v>
      </c>
      <c r="L11" s="138">
        <f t="shared" si="1"/>
        <v>44000451</v>
      </c>
      <c r="M11" s="138">
        <f t="shared" si="1"/>
        <v>44000451</v>
      </c>
      <c r="N11" s="138">
        <f t="shared" si="1"/>
        <v>44000451</v>
      </c>
      <c r="O11" s="138">
        <f t="shared" si="1"/>
        <v>44000451</v>
      </c>
      <c r="P11" s="138">
        <f t="shared" si="1"/>
        <v>44000451</v>
      </c>
      <c r="Q11" s="20"/>
      <c r="R11" s="20"/>
      <c r="S11" s="20"/>
      <c r="T11" s="20"/>
      <c r="U11" s="20"/>
      <c r="V11" s="20"/>
      <c r="W11" s="137">
        <f>SUM(D11:V11)</f>
        <v>528005412</v>
      </c>
    </row>
    <row r="12" spans="2:24" ht="24" customHeight="1" x14ac:dyDescent="0.25">
      <c r="W12" s="164">
        <f>SUM(W8:W11)</f>
        <v>25096553685</v>
      </c>
    </row>
    <row r="13" spans="2:24" x14ac:dyDescent="0.25">
      <c r="B13" s="13" t="s">
        <v>397</v>
      </c>
      <c r="C13" s="13" t="s">
        <v>40</v>
      </c>
      <c r="D13" s="13" t="s">
        <v>41</v>
      </c>
      <c r="E13" s="13" t="s">
        <v>42</v>
      </c>
      <c r="F13" s="13" t="s">
        <v>43</v>
      </c>
      <c r="G13" s="13" t="s">
        <v>44</v>
      </c>
      <c r="H13" s="5"/>
      <c r="W13" s="164">
        <f>+'Presupuesto detallado'!V55</f>
        <v>25096553685</v>
      </c>
    </row>
    <row r="14" spans="2:24" x14ac:dyDescent="0.25">
      <c r="B14" s="14" t="s">
        <v>191</v>
      </c>
      <c r="C14" s="21">
        <v>1</v>
      </c>
      <c r="D14" s="14" t="s">
        <v>100</v>
      </c>
      <c r="E14" s="77">
        <f>+Parámetros!D12</f>
        <v>10245720</v>
      </c>
      <c r="F14" s="23">
        <v>11</v>
      </c>
      <c r="G14" s="77">
        <f>+C14*E14*F14</f>
        <v>112702920</v>
      </c>
      <c r="I14" s="5"/>
      <c r="W14" s="263">
        <f>+W12-W13</f>
        <v>0</v>
      </c>
    </row>
    <row r="15" spans="2:24" x14ac:dyDescent="0.25">
      <c r="B15" s="14" t="s">
        <v>193</v>
      </c>
      <c r="C15" s="21">
        <v>25</v>
      </c>
      <c r="D15" s="14" t="s">
        <v>194</v>
      </c>
      <c r="E15" s="77">
        <f>+Parámetros!C32</f>
        <v>1000000</v>
      </c>
      <c r="F15" s="23"/>
      <c r="G15" s="77">
        <f>+C15*E15</f>
        <v>25000000</v>
      </c>
      <c r="I15" s="5"/>
    </row>
    <row r="16" spans="2:24" x14ac:dyDescent="0.25">
      <c r="B16" s="14" t="s">
        <v>45</v>
      </c>
      <c r="C16" s="21">
        <v>50</v>
      </c>
      <c r="D16" s="14" t="s">
        <v>670</v>
      </c>
      <c r="E16" s="77">
        <f>+Parámetros!D22</f>
        <v>550252</v>
      </c>
      <c r="F16" s="23"/>
      <c r="G16" s="77">
        <f>+C16*E16</f>
        <v>27512600</v>
      </c>
      <c r="I16" s="28"/>
    </row>
    <row r="17" spans="2:19" x14ac:dyDescent="0.25">
      <c r="B17" s="14" t="s">
        <v>297</v>
      </c>
      <c r="C17" s="21">
        <v>15</v>
      </c>
      <c r="D17" s="14" t="s">
        <v>104</v>
      </c>
      <c r="E17" s="77">
        <v>20000000</v>
      </c>
      <c r="F17" s="23"/>
      <c r="G17" s="77">
        <f>+C17*E17</f>
        <v>300000000</v>
      </c>
      <c r="I17" s="176"/>
    </row>
    <row r="18" spans="2:19" ht="24.75" x14ac:dyDescent="0.25">
      <c r="B18" s="54" t="s">
        <v>671</v>
      </c>
      <c r="C18" s="21"/>
      <c r="D18" s="14"/>
      <c r="E18" s="77"/>
      <c r="F18" s="23"/>
      <c r="G18" s="77"/>
      <c r="I18" s="176"/>
    </row>
    <row r="19" spans="2:19" x14ac:dyDescent="0.25">
      <c r="B19" s="24" t="s">
        <v>46</v>
      </c>
      <c r="C19" s="25"/>
      <c r="D19" s="14"/>
      <c r="E19" s="13"/>
      <c r="F19" s="13"/>
      <c r="G19" s="26">
        <f>SUM(G14:G18)</f>
        <v>465215520</v>
      </c>
      <c r="H19" s="5"/>
    </row>
    <row r="20" spans="2:19" x14ac:dyDescent="0.25">
      <c r="B20" s="5"/>
      <c r="C20" s="5"/>
      <c r="D20" s="5"/>
      <c r="E20" s="5"/>
      <c r="F20" s="5"/>
      <c r="G20" s="5"/>
      <c r="H20" s="5"/>
    </row>
    <row r="21" spans="2:19" x14ac:dyDescent="0.25">
      <c r="B21" s="5"/>
      <c r="C21" s="5"/>
      <c r="D21" s="5"/>
      <c r="E21" s="5"/>
      <c r="F21" s="5"/>
      <c r="G21" s="5"/>
      <c r="I21" s="5"/>
    </row>
    <row r="22" spans="2:19" x14ac:dyDescent="0.25">
      <c r="B22" s="13" t="s">
        <v>398</v>
      </c>
      <c r="C22" s="13" t="s">
        <v>40</v>
      </c>
      <c r="D22" s="13" t="s">
        <v>41</v>
      </c>
      <c r="E22" s="13" t="s">
        <v>42</v>
      </c>
      <c r="F22" s="13" t="s">
        <v>554</v>
      </c>
      <c r="G22" s="13" t="s">
        <v>43</v>
      </c>
      <c r="H22" s="13" t="s">
        <v>44</v>
      </c>
      <c r="I22" s="5"/>
    </row>
    <row r="23" spans="2:19" x14ac:dyDescent="0.25">
      <c r="B23" s="14" t="s">
        <v>672</v>
      </c>
      <c r="C23" s="21">
        <v>1</v>
      </c>
      <c r="D23" s="14" t="s">
        <v>100</v>
      </c>
      <c r="E23" s="77">
        <f>+Parámetros!D13</f>
        <v>8000082</v>
      </c>
      <c r="F23" s="118">
        <v>0.5</v>
      </c>
      <c r="G23" s="23">
        <v>11</v>
      </c>
      <c r="H23" s="96">
        <f>+C23*E23*F23*G23</f>
        <v>44000451</v>
      </c>
      <c r="I23" s="28"/>
      <c r="L23" s="81"/>
    </row>
    <row r="24" spans="2:19" x14ac:dyDescent="0.25">
      <c r="B24" s="14" t="s">
        <v>193</v>
      </c>
      <c r="C24" s="21">
        <v>5</v>
      </c>
      <c r="D24" s="14" t="s">
        <v>194</v>
      </c>
      <c r="E24" s="77">
        <f>+Parámetros!C32</f>
        <v>1000000</v>
      </c>
      <c r="F24" s="77"/>
      <c r="G24" s="23"/>
      <c r="H24" s="77">
        <f>+C24*E24</f>
        <v>5000000</v>
      </c>
      <c r="I24" s="5"/>
    </row>
    <row r="25" spans="2:19" x14ac:dyDescent="0.25">
      <c r="B25" s="14" t="s">
        <v>45</v>
      </c>
      <c r="C25" s="21">
        <v>5</v>
      </c>
      <c r="D25" s="14" t="s">
        <v>195</v>
      </c>
      <c r="E25" s="77">
        <f>+Parámetros!F24</f>
        <v>1098191.5</v>
      </c>
      <c r="F25" s="77"/>
      <c r="G25" s="23"/>
      <c r="H25" s="77">
        <f>+C25*E25</f>
        <v>5490957.5</v>
      </c>
      <c r="I25" s="5"/>
      <c r="L25" s="81"/>
      <c r="Q25" s="81"/>
    </row>
    <row r="26" spans="2:19" x14ac:dyDescent="0.25">
      <c r="B26" s="56" t="s">
        <v>298</v>
      </c>
      <c r="C26" s="21">
        <v>8</v>
      </c>
      <c r="D26" s="250" t="s">
        <v>550</v>
      </c>
      <c r="E26" s="77">
        <v>150000000</v>
      </c>
      <c r="F26" s="77"/>
      <c r="G26" s="23"/>
      <c r="H26" s="77">
        <f>+C26*E26</f>
        <v>1200000000</v>
      </c>
      <c r="L26" s="177"/>
      <c r="Q26" s="81"/>
      <c r="R26" s="81"/>
      <c r="S26" s="81"/>
    </row>
    <row r="27" spans="2:19" x14ac:dyDescent="0.25">
      <c r="B27" s="203" t="s">
        <v>234</v>
      </c>
      <c r="C27" s="204"/>
      <c r="D27" s="204"/>
      <c r="E27" s="204"/>
      <c r="F27" s="204"/>
      <c r="G27" s="205"/>
      <c r="H27" s="95">
        <f>SUM(H23:H26)</f>
        <v>1254491408.5</v>
      </c>
      <c r="L27" s="177"/>
    </row>
    <row r="28" spans="2:19" x14ac:dyDescent="0.25">
      <c r="B28" s="5" t="s">
        <v>673</v>
      </c>
      <c r="L28" s="81"/>
    </row>
    <row r="30" spans="2:19" x14ac:dyDescent="0.25">
      <c r="B30" s="13" t="s">
        <v>399</v>
      </c>
      <c r="C30" s="13" t="s">
        <v>40</v>
      </c>
      <c r="D30" s="13" t="s">
        <v>41</v>
      </c>
      <c r="E30" s="13" t="s">
        <v>42</v>
      </c>
      <c r="F30" s="13" t="s">
        <v>43</v>
      </c>
      <c r="G30" s="13" t="s">
        <v>44</v>
      </c>
    </row>
    <row r="31" spans="2:19" x14ac:dyDescent="0.25">
      <c r="B31" s="14" t="s">
        <v>674</v>
      </c>
      <c r="C31" s="21">
        <v>1</v>
      </c>
      <c r="D31" s="14" t="s">
        <v>104</v>
      </c>
      <c r="E31" s="77">
        <v>200000000</v>
      </c>
      <c r="F31" s="23"/>
      <c r="G31" s="77">
        <f>+C31*E31</f>
        <v>200000000</v>
      </c>
    </row>
    <row r="32" spans="2:19" x14ac:dyDescent="0.25">
      <c r="B32" s="56" t="s">
        <v>675</v>
      </c>
      <c r="C32" s="21">
        <v>1</v>
      </c>
      <c r="D32" s="14" t="s">
        <v>104</v>
      </c>
      <c r="E32" s="77">
        <v>80000000</v>
      </c>
      <c r="F32" s="23"/>
      <c r="G32" s="96">
        <v>25000000</v>
      </c>
      <c r="J32" s="81"/>
    </row>
    <row r="33" spans="2:10" x14ac:dyDescent="0.25">
      <c r="B33" s="129" t="s">
        <v>46</v>
      </c>
      <c r="C33" s="25"/>
      <c r="D33" s="14"/>
      <c r="E33" s="13"/>
      <c r="F33" s="13"/>
      <c r="G33" s="26">
        <f>SUM(G31:G32)</f>
        <v>225000000</v>
      </c>
      <c r="J33" s="81"/>
    </row>
    <row r="36" spans="2:10" x14ac:dyDescent="0.25">
      <c r="B36" s="13" t="s">
        <v>400</v>
      </c>
      <c r="C36" s="13" t="s">
        <v>40</v>
      </c>
      <c r="D36" s="13" t="s">
        <v>41</v>
      </c>
      <c r="E36" s="13" t="s">
        <v>42</v>
      </c>
      <c r="F36" s="13" t="s">
        <v>554</v>
      </c>
      <c r="G36" s="13" t="s">
        <v>43</v>
      </c>
      <c r="H36" s="13" t="s">
        <v>44</v>
      </c>
    </row>
    <row r="37" spans="2:10" x14ac:dyDescent="0.25">
      <c r="B37" s="18" t="s">
        <v>643</v>
      </c>
      <c r="C37" s="55">
        <v>1</v>
      </c>
      <c r="D37" s="56" t="s">
        <v>100</v>
      </c>
      <c r="E37" s="79">
        <f>+Parámetros!D13</f>
        <v>8000082</v>
      </c>
      <c r="F37" s="206">
        <v>0.5</v>
      </c>
      <c r="G37" s="80">
        <v>11</v>
      </c>
      <c r="H37" s="79">
        <f>+C37*E37*G37*F37</f>
        <v>44000451</v>
      </c>
      <c r="I37" s="5"/>
    </row>
    <row r="38" spans="2:10" x14ac:dyDescent="0.25">
      <c r="B38" s="18" t="s">
        <v>642</v>
      </c>
      <c r="C38" s="21"/>
      <c r="D38" s="14"/>
      <c r="E38" s="77"/>
      <c r="F38" s="118"/>
      <c r="G38" s="23"/>
      <c r="H38" s="96" t="s">
        <v>118</v>
      </c>
      <c r="I38" s="5"/>
    </row>
    <row r="39" spans="2:10" x14ac:dyDescent="0.25">
      <c r="B39" s="247" t="s">
        <v>234</v>
      </c>
      <c r="C39" s="106"/>
      <c r="D39" s="107"/>
      <c r="E39" s="144"/>
      <c r="F39" s="246"/>
      <c r="G39" s="108"/>
      <c r="H39" s="26">
        <f>SUM(H37:H38)</f>
        <v>44000451</v>
      </c>
      <c r="I39" s="5"/>
    </row>
    <row r="40" spans="2:10" x14ac:dyDescent="0.25">
      <c r="B40" s="40"/>
      <c r="C40" s="240"/>
      <c r="D40" s="91"/>
      <c r="E40" s="242"/>
      <c r="F40" s="243"/>
      <c r="G40" s="210"/>
      <c r="H40" s="244"/>
      <c r="I40" s="5"/>
    </row>
    <row r="41" spans="2:10" ht="36" customHeight="1" x14ac:dyDescent="0.25">
      <c r="I41" s="5"/>
    </row>
    <row r="42" spans="2:10" x14ac:dyDescent="0.25">
      <c r="I42" s="5"/>
    </row>
    <row r="43" spans="2:10" x14ac:dyDescent="0.25">
      <c r="I43" s="5"/>
    </row>
    <row r="44" spans="2:10" x14ac:dyDescent="0.25">
      <c r="I44" s="5"/>
    </row>
    <row r="45" spans="2:10" x14ac:dyDescent="0.25">
      <c r="I45" s="5"/>
    </row>
    <row r="46" spans="2:10" x14ac:dyDescent="0.25">
      <c r="I46" s="5"/>
    </row>
    <row r="47" spans="2:10" x14ac:dyDescent="0.25">
      <c r="I47" s="5"/>
    </row>
    <row r="48" spans="2:10" x14ac:dyDescent="0.25">
      <c r="I48" s="5"/>
    </row>
    <row r="49" spans="2:9" x14ac:dyDescent="0.25">
      <c r="I49" s="5"/>
    </row>
    <row r="50" spans="2:9" x14ac:dyDescent="0.25">
      <c r="I50" s="5"/>
    </row>
    <row r="51" spans="2:9" x14ac:dyDescent="0.25">
      <c r="I51" s="5"/>
    </row>
    <row r="52" spans="2:9" x14ac:dyDescent="0.25">
      <c r="I52" s="5"/>
    </row>
    <row r="53" spans="2:9" x14ac:dyDescent="0.25">
      <c r="I53" s="5"/>
    </row>
    <row r="54" spans="2:9" x14ac:dyDescent="0.25">
      <c r="I54" s="5"/>
    </row>
    <row r="55" spans="2:9" x14ac:dyDescent="0.25">
      <c r="B55" s="1" t="s">
        <v>300</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1"/>
  <dimension ref="B2:X6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6" width="14.85546875" style="1" bestFit="1" customWidth="1"/>
    <col min="7" max="7" width="15.140625" style="1" customWidth="1"/>
    <col min="8" max="8" width="15.28515625" style="1" customWidth="1"/>
    <col min="9" max="9" width="14.7109375" style="1" customWidth="1"/>
    <col min="10" max="10" width="14.85546875" style="1" bestFit="1" customWidth="1"/>
    <col min="11" max="11" width="16.5703125" style="1" bestFit="1" customWidth="1"/>
    <col min="12" max="19" width="14.85546875" style="1" bestFit="1" customWidth="1"/>
    <col min="20" max="20" width="15" style="1" customWidth="1"/>
    <col min="21" max="22" width="14.85546875"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detallado'!B60</f>
        <v>3.2. Mejora en la gestión de riesgos fitosanitarios del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24" x14ac:dyDescent="0.25">
      <c r="B8" s="18" t="str">
        <f>+'Presupuesto detallado'!B61</f>
        <v>3.2.1. Actualización del estatus fitosanitario para el cultivo del arroz</v>
      </c>
      <c r="C8" s="19" t="s">
        <v>676</v>
      </c>
      <c r="D8" s="20"/>
      <c r="E8" s="116">
        <f t="shared" ref="E8:V8" si="0">+$H$19</f>
        <v>24270050.5</v>
      </c>
      <c r="F8" s="116">
        <f t="shared" si="0"/>
        <v>24270050.5</v>
      </c>
      <c r="G8" s="116">
        <f t="shared" si="0"/>
        <v>24270050.5</v>
      </c>
      <c r="H8" s="116">
        <f t="shared" si="0"/>
        <v>24270050.5</v>
      </c>
      <c r="I8" s="116">
        <f t="shared" si="0"/>
        <v>24270050.5</v>
      </c>
      <c r="J8" s="116">
        <f t="shared" si="0"/>
        <v>24270050.5</v>
      </c>
      <c r="K8" s="116">
        <f t="shared" si="0"/>
        <v>24270050.5</v>
      </c>
      <c r="L8" s="116">
        <f t="shared" si="0"/>
        <v>24270050.5</v>
      </c>
      <c r="M8" s="116">
        <f t="shared" si="0"/>
        <v>24270050.5</v>
      </c>
      <c r="N8" s="116">
        <f t="shared" si="0"/>
        <v>24270050.5</v>
      </c>
      <c r="O8" s="116">
        <f t="shared" si="0"/>
        <v>24270050.5</v>
      </c>
      <c r="P8" s="116">
        <f t="shared" si="0"/>
        <v>24270050.5</v>
      </c>
      <c r="Q8" s="116">
        <f t="shared" si="0"/>
        <v>24270050.5</v>
      </c>
      <c r="R8" s="116">
        <f t="shared" si="0"/>
        <v>24270050.5</v>
      </c>
      <c r="S8" s="116">
        <f t="shared" si="0"/>
        <v>24270050.5</v>
      </c>
      <c r="T8" s="116">
        <f t="shared" si="0"/>
        <v>24270050.5</v>
      </c>
      <c r="U8" s="116">
        <f t="shared" si="0"/>
        <v>24270050.5</v>
      </c>
      <c r="V8" s="116">
        <f t="shared" si="0"/>
        <v>24270050.5</v>
      </c>
      <c r="W8" s="117">
        <f t="shared" ref="W8:W13" si="1">SUM(E8:V8)</f>
        <v>436860909</v>
      </c>
    </row>
    <row r="9" spans="2:24" ht="24" x14ac:dyDescent="0.25">
      <c r="B9" s="18" t="str">
        <f>+'Presupuesto detallado'!B62</f>
        <v>3.2.2. Fortalecimiento de la gestión para la atención de episodios inusuales de plagas</v>
      </c>
      <c r="C9" s="19" t="s">
        <v>141</v>
      </c>
      <c r="D9" s="20"/>
      <c r="E9" s="116">
        <f>+$H$25</f>
        <v>110001127.5</v>
      </c>
      <c r="F9" s="116">
        <f t="shared" ref="F9:V9" si="2">+$H$25</f>
        <v>110001127.5</v>
      </c>
      <c r="G9" s="116">
        <f t="shared" si="2"/>
        <v>110001127.5</v>
      </c>
      <c r="H9" s="116">
        <f t="shared" si="2"/>
        <v>110001127.5</v>
      </c>
      <c r="I9" s="116">
        <f t="shared" si="2"/>
        <v>110001127.5</v>
      </c>
      <c r="J9" s="116">
        <f t="shared" si="2"/>
        <v>110001127.5</v>
      </c>
      <c r="K9" s="116">
        <f t="shared" si="2"/>
        <v>110001127.5</v>
      </c>
      <c r="L9" s="116">
        <f t="shared" si="2"/>
        <v>110001127.5</v>
      </c>
      <c r="M9" s="116">
        <f t="shared" si="2"/>
        <v>110001127.5</v>
      </c>
      <c r="N9" s="116">
        <f t="shared" si="2"/>
        <v>110001127.5</v>
      </c>
      <c r="O9" s="116">
        <f t="shared" si="2"/>
        <v>110001127.5</v>
      </c>
      <c r="P9" s="116">
        <f t="shared" si="2"/>
        <v>110001127.5</v>
      </c>
      <c r="Q9" s="116">
        <f t="shared" si="2"/>
        <v>110001127.5</v>
      </c>
      <c r="R9" s="116">
        <f t="shared" si="2"/>
        <v>110001127.5</v>
      </c>
      <c r="S9" s="116">
        <f t="shared" si="2"/>
        <v>110001127.5</v>
      </c>
      <c r="T9" s="116">
        <f t="shared" si="2"/>
        <v>110001127.5</v>
      </c>
      <c r="U9" s="116">
        <f t="shared" si="2"/>
        <v>110001127.5</v>
      </c>
      <c r="V9" s="116">
        <f t="shared" si="2"/>
        <v>110001127.5</v>
      </c>
      <c r="W9" s="117">
        <f t="shared" si="1"/>
        <v>1980020295</v>
      </c>
    </row>
    <row r="10" spans="2:24" ht="36" x14ac:dyDescent="0.25">
      <c r="B10" s="18" t="str">
        <f>+'Presupuesto detallado'!B63</f>
        <v xml:space="preserve">3.2.3. Estandarización y socialización de metodologías de monitoreo para el control de plagas en el cultivo de arroz </v>
      </c>
      <c r="C10" s="19" t="s">
        <v>156</v>
      </c>
      <c r="D10" s="20"/>
      <c r="E10" s="116">
        <f>+$H$32</f>
        <v>123001127.5</v>
      </c>
      <c r="F10" s="116">
        <f>+$H$32</f>
        <v>123001127.5</v>
      </c>
      <c r="G10" s="116">
        <f>+$H$32</f>
        <v>123001127.5</v>
      </c>
      <c r="H10" s="116">
        <f>+$H$32</f>
        <v>123001127.5</v>
      </c>
      <c r="I10" s="116">
        <f>+$H$32</f>
        <v>123001127.5</v>
      </c>
      <c r="J10" s="20"/>
      <c r="K10" s="20"/>
      <c r="L10" s="20"/>
      <c r="M10" s="20"/>
      <c r="N10" s="20"/>
      <c r="O10" s="20"/>
      <c r="P10" s="20"/>
      <c r="Q10" s="20"/>
      <c r="R10" s="20"/>
      <c r="S10" s="20"/>
      <c r="T10" s="20"/>
      <c r="U10" s="20"/>
      <c r="V10" s="20"/>
      <c r="W10" s="117">
        <f t="shared" si="1"/>
        <v>615005637.5</v>
      </c>
    </row>
    <row r="11" spans="2:24" ht="48" x14ac:dyDescent="0.25">
      <c r="B11" s="18" t="str">
        <f>+'Presupuesto detallado'!B64</f>
        <v>3.2.4. Fortalecimiento técnico y presupuestal de los planes fitosanitarios (monitoreo de patógenos, diagnósticos, flujo de información con pares internacionales, entre otros)</v>
      </c>
      <c r="C11" s="19" t="s">
        <v>141</v>
      </c>
      <c r="D11" s="20"/>
      <c r="E11" s="116">
        <f>+$G$40</f>
        <v>228562429</v>
      </c>
      <c r="F11" s="116">
        <f t="shared" ref="F11:V11" si="3">+$G$40</f>
        <v>228562429</v>
      </c>
      <c r="G11" s="116">
        <f t="shared" si="3"/>
        <v>228562429</v>
      </c>
      <c r="H11" s="116">
        <f t="shared" si="3"/>
        <v>228562429</v>
      </c>
      <c r="I11" s="116">
        <f t="shared" si="3"/>
        <v>228562429</v>
      </c>
      <c r="J11" s="116">
        <f t="shared" si="3"/>
        <v>228562429</v>
      </c>
      <c r="K11" s="116">
        <f t="shared" si="3"/>
        <v>228562429</v>
      </c>
      <c r="L11" s="116">
        <f t="shared" si="3"/>
        <v>228562429</v>
      </c>
      <c r="M11" s="116">
        <f t="shared" si="3"/>
        <v>228562429</v>
      </c>
      <c r="N11" s="116">
        <f t="shared" si="3"/>
        <v>228562429</v>
      </c>
      <c r="O11" s="116">
        <f t="shared" si="3"/>
        <v>228562429</v>
      </c>
      <c r="P11" s="116">
        <f t="shared" si="3"/>
        <v>228562429</v>
      </c>
      <c r="Q11" s="116">
        <f t="shared" si="3"/>
        <v>228562429</v>
      </c>
      <c r="R11" s="116">
        <f t="shared" si="3"/>
        <v>228562429</v>
      </c>
      <c r="S11" s="116">
        <f t="shared" si="3"/>
        <v>228562429</v>
      </c>
      <c r="T11" s="116">
        <f t="shared" si="3"/>
        <v>228562429</v>
      </c>
      <c r="U11" s="116">
        <f t="shared" si="3"/>
        <v>228562429</v>
      </c>
      <c r="V11" s="116">
        <f t="shared" si="3"/>
        <v>228562429</v>
      </c>
      <c r="W11" s="117">
        <f t="shared" si="1"/>
        <v>4114123722</v>
      </c>
    </row>
    <row r="12" spans="2:24" ht="48" x14ac:dyDescent="0.25">
      <c r="B12" s="18" t="str">
        <f>+'Presupuesto detallado'!B65</f>
        <v>3.2.5. Fortalecimiento de las capacidades institucionales (recursos físicos, humanos, tecnológicos y financieros) y de articulación en materia sanitaria, en el ámbito central y seccional</v>
      </c>
      <c r="C12" s="19" t="s">
        <v>141</v>
      </c>
      <c r="D12" s="20"/>
      <c r="E12" s="116">
        <f>+H47</f>
        <v>260001127.5</v>
      </c>
      <c r="F12" s="117" t="str">
        <f>+$H$46</f>
        <v>Presupuesto relativo</v>
      </c>
      <c r="G12" s="117" t="str">
        <f t="shared" ref="G12:V12" si="4">+$H$46</f>
        <v>Presupuesto relativo</v>
      </c>
      <c r="H12" s="117" t="str">
        <f t="shared" si="4"/>
        <v>Presupuesto relativo</v>
      </c>
      <c r="I12" s="117" t="str">
        <f t="shared" si="4"/>
        <v>Presupuesto relativo</v>
      </c>
      <c r="J12" s="117" t="str">
        <f t="shared" si="4"/>
        <v>Presupuesto relativo</v>
      </c>
      <c r="K12" s="117" t="str">
        <f t="shared" si="4"/>
        <v>Presupuesto relativo</v>
      </c>
      <c r="L12" s="117" t="str">
        <f t="shared" si="4"/>
        <v>Presupuesto relativo</v>
      </c>
      <c r="M12" s="117" t="str">
        <f t="shared" si="4"/>
        <v>Presupuesto relativo</v>
      </c>
      <c r="N12" s="117" t="str">
        <f t="shared" si="4"/>
        <v>Presupuesto relativo</v>
      </c>
      <c r="O12" s="117" t="str">
        <f t="shared" si="4"/>
        <v>Presupuesto relativo</v>
      </c>
      <c r="P12" s="117" t="str">
        <f t="shared" si="4"/>
        <v>Presupuesto relativo</v>
      </c>
      <c r="Q12" s="117" t="str">
        <f t="shared" si="4"/>
        <v>Presupuesto relativo</v>
      </c>
      <c r="R12" s="117" t="str">
        <f t="shared" si="4"/>
        <v>Presupuesto relativo</v>
      </c>
      <c r="S12" s="117" t="str">
        <f t="shared" si="4"/>
        <v>Presupuesto relativo</v>
      </c>
      <c r="T12" s="117" t="str">
        <f t="shared" si="4"/>
        <v>Presupuesto relativo</v>
      </c>
      <c r="U12" s="117" t="str">
        <f t="shared" si="4"/>
        <v>Presupuesto relativo</v>
      </c>
      <c r="V12" s="117" t="str">
        <f t="shared" si="4"/>
        <v>Presupuesto relativo</v>
      </c>
      <c r="W12" s="117">
        <f t="shared" si="1"/>
        <v>260001127.5</v>
      </c>
    </row>
    <row r="13" spans="2:24" ht="72" x14ac:dyDescent="0.25">
      <c r="B13" s="18" t="str">
        <f>+'Presupuesto detallado'!B66</f>
        <v xml:space="preserve">3.2.6. Fortalecimiento del sistema de cuarentena fitosanitaria en puertos, aeropuertos y pasos fronterizos, para la vigilancia y control al ingreso de arroz, subproductos e insumos agrícolas, mejorando la capacidad de atención (pruebas y laboratorios, puntos de atención) </v>
      </c>
      <c r="C13" s="19" t="s">
        <v>141</v>
      </c>
      <c r="D13" s="20"/>
      <c r="E13" s="116">
        <f>+$H$55</f>
        <v>1122641505</v>
      </c>
      <c r="F13" s="116">
        <f t="shared" ref="F13:V13" si="5">+$H$55</f>
        <v>1122641505</v>
      </c>
      <c r="G13" s="116">
        <f t="shared" si="5"/>
        <v>1122641505</v>
      </c>
      <c r="H13" s="116">
        <f t="shared" si="5"/>
        <v>1122641505</v>
      </c>
      <c r="I13" s="116">
        <f t="shared" si="5"/>
        <v>1122641505</v>
      </c>
      <c r="J13" s="116">
        <f t="shared" si="5"/>
        <v>1122641505</v>
      </c>
      <c r="K13" s="116">
        <f t="shared" si="5"/>
        <v>1122641505</v>
      </c>
      <c r="L13" s="116">
        <f t="shared" si="5"/>
        <v>1122641505</v>
      </c>
      <c r="M13" s="116">
        <f t="shared" si="5"/>
        <v>1122641505</v>
      </c>
      <c r="N13" s="116">
        <f t="shared" si="5"/>
        <v>1122641505</v>
      </c>
      <c r="O13" s="116">
        <f t="shared" si="5"/>
        <v>1122641505</v>
      </c>
      <c r="P13" s="116">
        <f t="shared" si="5"/>
        <v>1122641505</v>
      </c>
      <c r="Q13" s="116">
        <f t="shared" si="5"/>
        <v>1122641505</v>
      </c>
      <c r="R13" s="116">
        <f t="shared" si="5"/>
        <v>1122641505</v>
      </c>
      <c r="S13" s="116">
        <f t="shared" si="5"/>
        <v>1122641505</v>
      </c>
      <c r="T13" s="116">
        <f t="shared" si="5"/>
        <v>1122641505</v>
      </c>
      <c r="U13" s="116">
        <f t="shared" si="5"/>
        <v>1122641505</v>
      </c>
      <c r="V13" s="116">
        <f t="shared" si="5"/>
        <v>1122641505</v>
      </c>
      <c r="W13" s="117">
        <f t="shared" si="1"/>
        <v>20207547090</v>
      </c>
    </row>
    <row r="14" spans="2:24" ht="24" customHeight="1" x14ac:dyDescent="0.25">
      <c r="W14" s="162">
        <f>SUM(W8:W13)</f>
        <v>27613558781</v>
      </c>
    </row>
    <row r="15" spans="2:24" x14ac:dyDescent="0.25">
      <c r="B15" s="13" t="s">
        <v>677</v>
      </c>
      <c r="C15" s="13" t="s">
        <v>40</v>
      </c>
      <c r="D15" s="13" t="s">
        <v>41</v>
      </c>
      <c r="E15" s="13" t="s">
        <v>42</v>
      </c>
      <c r="F15" s="13" t="s">
        <v>554</v>
      </c>
      <c r="G15" s="13" t="s">
        <v>43</v>
      </c>
      <c r="H15" s="13" t="s">
        <v>44</v>
      </c>
      <c r="W15" s="162">
        <f>+'Presupuesto detallado'!V60</f>
        <v>27613558781</v>
      </c>
    </row>
    <row r="16" spans="2:24" x14ac:dyDescent="0.25">
      <c r="B16" s="14" t="s">
        <v>641</v>
      </c>
      <c r="C16" s="21">
        <v>1</v>
      </c>
      <c r="D16" s="14" t="s">
        <v>100</v>
      </c>
      <c r="E16" s="77">
        <f>+Parámetros!D13</f>
        <v>8000082</v>
      </c>
      <c r="F16" s="118">
        <v>0.25</v>
      </c>
      <c r="G16" s="23">
        <v>11</v>
      </c>
      <c r="H16" s="77">
        <f>+C16*E16*G16*F16</f>
        <v>22000225.5</v>
      </c>
      <c r="W16" s="221">
        <f>+W14-W15</f>
        <v>0</v>
      </c>
    </row>
    <row r="17" spans="2:8" x14ac:dyDescent="0.25">
      <c r="B17" s="14" t="s">
        <v>108</v>
      </c>
      <c r="C17" s="21">
        <v>1</v>
      </c>
      <c r="D17" s="14" t="s">
        <v>109</v>
      </c>
      <c r="E17" s="77">
        <f>+Parámetros!C32</f>
        <v>1000000</v>
      </c>
      <c r="F17" s="22"/>
      <c r="G17" s="23"/>
      <c r="H17" s="77">
        <f>+C17*E17</f>
        <v>1000000</v>
      </c>
    </row>
    <row r="18" spans="2:8" x14ac:dyDescent="0.25">
      <c r="B18" s="14" t="s">
        <v>45</v>
      </c>
      <c r="C18" s="21">
        <v>3</v>
      </c>
      <c r="D18" s="14" t="s">
        <v>115</v>
      </c>
      <c r="E18" s="77">
        <f>+Parámetros!D23</f>
        <v>423275</v>
      </c>
      <c r="F18" s="13"/>
      <c r="G18" s="23"/>
      <c r="H18" s="77">
        <f>+C18*E18</f>
        <v>1269825</v>
      </c>
    </row>
    <row r="19" spans="2:8" x14ac:dyDescent="0.25">
      <c r="B19" s="24" t="s">
        <v>46</v>
      </c>
      <c r="C19" s="25"/>
      <c r="D19" s="14"/>
      <c r="E19" s="13"/>
      <c r="F19" s="13"/>
      <c r="G19" s="13"/>
      <c r="H19" s="26">
        <f>SUM(H16:H18)</f>
        <v>24270050.5</v>
      </c>
    </row>
    <row r="20" spans="2:8" x14ac:dyDescent="0.25">
      <c r="B20" s="5"/>
      <c r="C20" s="5"/>
      <c r="D20" s="5"/>
      <c r="E20" s="5"/>
      <c r="F20" s="5"/>
      <c r="G20" s="5"/>
      <c r="H20" s="5"/>
    </row>
    <row r="21" spans="2:8" x14ac:dyDescent="0.25">
      <c r="B21" s="5"/>
      <c r="C21" s="5"/>
      <c r="D21" s="5"/>
      <c r="E21" s="5"/>
      <c r="F21" s="5"/>
      <c r="G21" s="5"/>
      <c r="H21" s="5"/>
    </row>
    <row r="22" spans="2:8" x14ac:dyDescent="0.25">
      <c r="B22" s="13" t="s">
        <v>678</v>
      </c>
      <c r="C22" s="13" t="s">
        <v>40</v>
      </c>
      <c r="D22" s="13" t="s">
        <v>41</v>
      </c>
      <c r="E22" s="13" t="s">
        <v>42</v>
      </c>
      <c r="F22" s="13" t="s">
        <v>554</v>
      </c>
      <c r="G22" s="13" t="s">
        <v>43</v>
      </c>
      <c r="H22" s="13" t="s">
        <v>44</v>
      </c>
    </row>
    <row r="23" spans="2:8" x14ac:dyDescent="0.25">
      <c r="B23" s="14" t="s">
        <v>666</v>
      </c>
      <c r="C23" s="21">
        <v>5</v>
      </c>
      <c r="D23" s="14" t="s">
        <v>100</v>
      </c>
      <c r="E23" s="77">
        <f>+Parámetros!D13</f>
        <v>8000082</v>
      </c>
      <c r="F23" s="118">
        <v>0.25</v>
      </c>
      <c r="G23" s="23">
        <v>11</v>
      </c>
      <c r="H23" s="77">
        <f>+C23*E23*G23*F23</f>
        <v>110001127.5</v>
      </c>
    </row>
    <row r="24" spans="2:8" ht="24.75" x14ac:dyDescent="0.25">
      <c r="B24" s="56" t="s">
        <v>200</v>
      </c>
      <c r="C24" s="21"/>
      <c r="D24" s="14"/>
      <c r="E24" s="22"/>
      <c r="F24" s="22"/>
      <c r="G24" s="23"/>
      <c r="H24" s="97" t="str">
        <f>+Parámetros!C4</f>
        <v>Presupuesto relativo</v>
      </c>
    </row>
    <row r="25" spans="2:8" x14ac:dyDescent="0.25">
      <c r="B25" s="139" t="s">
        <v>46</v>
      </c>
      <c r="C25" s="25"/>
      <c r="D25" s="14"/>
      <c r="E25" s="13"/>
      <c r="F25" s="13"/>
      <c r="G25" s="13"/>
      <c r="H25" s="26">
        <f>SUM(H23:H24)</f>
        <v>110001127.5</v>
      </c>
    </row>
    <row r="28" spans="2:8" x14ac:dyDescent="0.25">
      <c r="B28" s="13" t="s">
        <v>679</v>
      </c>
      <c r="C28" s="13" t="s">
        <v>40</v>
      </c>
      <c r="D28" s="13" t="s">
        <v>41</v>
      </c>
      <c r="E28" s="13" t="s">
        <v>42</v>
      </c>
      <c r="F28" s="13" t="s">
        <v>554</v>
      </c>
      <c r="G28" s="13" t="s">
        <v>43</v>
      </c>
      <c r="H28" s="13" t="s">
        <v>44</v>
      </c>
    </row>
    <row r="29" spans="2:8" x14ac:dyDescent="0.25">
      <c r="B29" s="14" t="s">
        <v>666</v>
      </c>
      <c r="C29" s="21">
        <v>5</v>
      </c>
      <c r="D29" s="14" t="s">
        <v>100</v>
      </c>
      <c r="E29" s="77">
        <f>+Parámetros!D13</f>
        <v>8000082</v>
      </c>
      <c r="F29" s="118">
        <v>0.25</v>
      </c>
      <c r="G29" s="23">
        <v>11</v>
      </c>
      <c r="H29" s="77">
        <f>+C29*E29*G29*F29</f>
        <v>110001127.5</v>
      </c>
    </row>
    <row r="30" spans="2:8" x14ac:dyDescent="0.25">
      <c r="B30" s="14" t="s">
        <v>315</v>
      </c>
      <c r="C30" s="21">
        <v>1</v>
      </c>
      <c r="D30" s="14" t="s">
        <v>199</v>
      </c>
      <c r="E30" s="77">
        <v>3000000</v>
      </c>
      <c r="F30" s="77"/>
      <c r="G30" s="23"/>
      <c r="H30" s="77">
        <f>+C30*E30</f>
        <v>3000000</v>
      </c>
    </row>
    <row r="31" spans="2:8" x14ac:dyDescent="0.25">
      <c r="B31" s="14" t="s">
        <v>314</v>
      </c>
      <c r="C31" s="21">
        <v>2</v>
      </c>
      <c r="D31" s="14" t="s">
        <v>199</v>
      </c>
      <c r="E31" s="77">
        <v>5000000</v>
      </c>
      <c r="F31" s="77"/>
      <c r="G31" s="23"/>
      <c r="H31" s="77">
        <f>+C31*E31</f>
        <v>10000000</v>
      </c>
    </row>
    <row r="32" spans="2:8" x14ac:dyDescent="0.25">
      <c r="B32" s="139" t="s">
        <v>46</v>
      </c>
      <c r="C32" s="25"/>
      <c r="D32" s="14"/>
      <c r="E32" s="13"/>
      <c r="F32" s="13"/>
      <c r="G32" s="13"/>
      <c r="H32" s="26">
        <f>SUM(H29:H31)</f>
        <v>123001127.5</v>
      </c>
    </row>
    <row r="35" spans="2:13" x14ac:dyDescent="0.25">
      <c r="B35" s="13" t="s">
        <v>680</v>
      </c>
      <c r="C35" s="13" t="s">
        <v>40</v>
      </c>
      <c r="D35" s="13" t="s">
        <v>41</v>
      </c>
      <c r="E35" s="13" t="s">
        <v>42</v>
      </c>
      <c r="F35" s="13" t="s">
        <v>43</v>
      </c>
      <c r="G35" s="13" t="s">
        <v>44</v>
      </c>
    </row>
    <row r="36" spans="2:13" x14ac:dyDescent="0.25">
      <c r="B36" s="14" t="s">
        <v>551</v>
      </c>
      <c r="C36" s="21">
        <v>1</v>
      </c>
      <c r="D36" s="14" t="s">
        <v>100</v>
      </c>
      <c r="E36" s="77">
        <f>+Parámetros!D11</f>
        <v>11508889</v>
      </c>
      <c r="F36" s="23">
        <v>11</v>
      </c>
      <c r="G36" s="77">
        <f>+C36*E36*F36</f>
        <v>126597779</v>
      </c>
      <c r="I36" s="74"/>
      <c r="J36" s="74"/>
      <c r="K36" s="74"/>
      <c r="L36" s="74"/>
      <c r="M36" s="74"/>
    </row>
    <row r="37" spans="2:13" x14ac:dyDescent="0.25">
      <c r="B37" s="56" t="s">
        <v>683</v>
      </c>
      <c r="C37" s="21">
        <v>5</v>
      </c>
      <c r="D37" s="14" t="s">
        <v>251</v>
      </c>
      <c r="E37" s="77">
        <f>+Parámetros!D13</f>
        <v>8000082</v>
      </c>
      <c r="F37" s="23">
        <v>2</v>
      </c>
      <c r="G37" s="77">
        <f>+C37*E37*F37</f>
        <v>80000820</v>
      </c>
      <c r="I37" s="74"/>
      <c r="J37" s="74"/>
      <c r="K37" s="74"/>
      <c r="L37" s="74"/>
      <c r="M37" s="74"/>
    </row>
    <row r="38" spans="2:13" x14ac:dyDescent="0.25">
      <c r="B38" s="56" t="s">
        <v>45</v>
      </c>
      <c r="C38" s="21">
        <v>20</v>
      </c>
      <c r="D38" s="14" t="s">
        <v>682</v>
      </c>
      <c r="E38" s="77">
        <f>+Parámetros!F24</f>
        <v>1098191.5</v>
      </c>
      <c r="F38" s="23"/>
      <c r="G38" s="77">
        <f>+C38*E38</f>
        <v>21963830</v>
      </c>
      <c r="I38" s="74"/>
      <c r="J38" s="74"/>
      <c r="K38" s="74"/>
      <c r="L38" s="74"/>
      <c r="M38" s="74"/>
    </row>
    <row r="39" spans="2:13" ht="24.75" x14ac:dyDescent="0.25">
      <c r="B39" s="56" t="s">
        <v>684</v>
      </c>
      <c r="C39" s="21"/>
      <c r="D39" s="14"/>
      <c r="E39" s="22"/>
      <c r="F39" s="23"/>
      <c r="G39" s="97" t="str">
        <f>+Parámetros!C4</f>
        <v>Presupuesto relativo</v>
      </c>
      <c r="I39" s="74"/>
      <c r="J39" s="74"/>
      <c r="K39" s="74"/>
      <c r="L39" s="74"/>
      <c r="M39" s="74"/>
    </row>
    <row r="40" spans="2:13" x14ac:dyDescent="0.25">
      <c r="B40" s="139" t="s">
        <v>46</v>
      </c>
      <c r="C40" s="25"/>
      <c r="D40" s="14"/>
      <c r="E40" s="13"/>
      <c r="F40" s="13"/>
      <c r="G40" s="26">
        <f>SUM(G36:G39)</f>
        <v>228562429</v>
      </c>
      <c r="I40" s="74"/>
      <c r="J40" s="74"/>
      <c r="K40" s="74"/>
      <c r="L40" s="74"/>
      <c r="M40" s="259"/>
    </row>
    <row r="41" spans="2:13" x14ac:dyDescent="0.25">
      <c r="B41" s="233"/>
      <c r="C41" s="90"/>
      <c r="D41" s="91"/>
      <c r="E41" s="92"/>
      <c r="F41" s="92"/>
      <c r="G41" s="93"/>
      <c r="I41" s="74"/>
      <c r="J41" s="74"/>
      <c r="K41" s="74"/>
      <c r="L41" s="74"/>
      <c r="M41" s="259"/>
    </row>
    <row r="42" spans="2:13" x14ac:dyDescent="0.25">
      <c r="H42" s="74"/>
      <c r="I42" s="74"/>
      <c r="J42" s="260"/>
      <c r="K42" s="74"/>
      <c r="L42" s="74"/>
    </row>
    <row r="43" spans="2:13" x14ac:dyDescent="0.25">
      <c r="B43" s="13" t="s">
        <v>685</v>
      </c>
      <c r="C43" s="13" t="s">
        <v>40</v>
      </c>
      <c r="D43" s="13" t="s">
        <v>41</v>
      </c>
      <c r="E43" s="13" t="s">
        <v>42</v>
      </c>
      <c r="F43" s="13" t="s">
        <v>554</v>
      </c>
      <c r="G43" s="13" t="s">
        <v>43</v>
      </c>
      <c r="H43" s="13" t="s">
        <v>44</v>
      </c>
      <c r="I43" s="74"/>
    </row>
    <row r="44" spans="2:13" x14ac:dyDescent="0.25">
      <c r="B44" s="14" t="s">
        <v>641</v>
      </c>
      <c r="C44" s="21">
        <v>5</v>
      </c>
      <c r="D44" s="14" t="s">
        <v>100</v>
      </c>
      <c r="E44" s="77">
        <f>+Parámetros!D13</f>
        <v>8000082</v>
      </c>
      <c r="F44" s="118">
        <v>0.25</v>
      </c>
      <c r="G44" s="23">
        <v>11</v>
      </c>
      <c r="H44" s="77">
        <f>+C44*E44*G44*F44</f>
        <v>110001127.5</v>
      </c>
      <c r="I44" s="74"/>
    </row>
    <row r="45" spans="2:13" x14ac:dyDescent="0.25">
      <c r="B45" s="14" t="s">
        <v>697</v>
      </c>
      <c r="C45" s="21">
        <v>5</v>
      </c>
      <c r="D45" s="14" t="s">
        <v>199</v>
      </c>
      <c r="E45" s="77">
        <v>30000000</v>
      </c>
      <c r="F45" s="23"/>
      <c r="G45" s="23"/>
      <c r="H45" s="77">
        <f>+C45*E45</f>
        <v>150000000</v>
      </c>
      <c r="I45" s="74"/>
    </row>
    <row r="46" spans="2:13" ht="24.75" x14ac:dyDescent="0.25">
      <c r="B46" s="56" t="s">
        <v>200</v>
      </c>
      <c r="C46" s="21"/>
      <c r="D46" s="14"/>
      <c r="E46" s="22"/>
      <c r="F46" s="23"/>
      <c r="G46" s="23"/>
      <c r="H46" s="97" t="str">
        <f>+Parámetros!C4</f>
        <v>Presupuesto relativo</v>
      </c>
      <c r="I46" s="74"/>
    </row>
    <row r="47" spans="2:13" x14ac:dyDescent="0.25">
      <c r="B47" s="139" t="s">
        <v>46</v>
      </c>
      <c r="C47" s="25"/>
      <c r="D47" s="14"/>
      <c r="E47" s="13"/>
      <c r="F47" s="13"/>
      <c r="G47" s="13"/>
      <c r="H47" s="26">
        <f>+H44+H45</f>
        <v>260001127.5</v>
      </c>
      <c r="I47" s="74"/>
    </row>
    <row r="48" spans="2:13" x14ac:dyDescent="0.25">
      <c r="H48" s="74"/>
      <c r="I48" s="74"/>
    </row>
    <row r="49" spans="2:12" x14ac:dyDescent="0.25">
      <c r="H49" s="74"/>
      <c r="I49" s="74"/>
    </row>
    <row r="50" spans="2:12" x14ac:dyDescent="0.25">
      <c r="B50" s="13" t="s">
        <v>698</v>
      </c>
      <c r="C50" s="13" t="s">
        <v>40</v>
      </c>
      <c r="D50" s="13" t="s">
        <v>41</v>
      </c>
      <c r="E50" s="13" t="s">
        <v>42</v>
      </c>
      <c r="F50" s="13" t="s">
        <v>554</v>
      </c>
      <c r="G50" s="13" t="s">
        <v>43</v>
      </c>
      <c r="H50" s="13" t="s">
        <v>44</v>
      </c>
      <c r="I50" s="74"/>
      <c r="J50" s="74"/>
      <c r="K50" s="74"/>
      <c r="L50" s="74"/>
    </row>
    <row r="51" spans="2:12" x14ac:dyDescent="0.25">
      <c r="B51" s="14" t="s">
        <v>699</v>
      </c>
      <c r="C51" s="21">
        <v>18</v>
      </c>
      <c r="D51" s="14" t="s">
        <v>251</v>
      </c>
      <c r="E51" s="77">
        <f>+Parámetros!D16</f>
        <v>5894797</v>
      </c>
      <c r="F51" s="118">
        <v>0.5</v>
      </c>
      <c r="G51" s="23">
        <v>11</v>
      </c>
      <c r="H51" s="77">
        <f>+C51*E51*G51*F51</f>
        <v>583584903</v>
      </c>
      <c r="I51" s="74"/>
      <c r="J51" s="74"/>
      <c r="K51" s="74"/>
      <c r="L51" s="74"/>
    </row>
    <row r="52" spans="2:12" x14ac:dyDescent="0.25">
      <c r="B52" s="14" t="s">
        <v>700</v>
      </c>
      <c r="C52" s="21">
        <v>12</v>
      </c>
      <c r="D52" s="14" t="s">
        <v>251</v>
      </c>
      <c r="E52" s="77">
        <f>+Parámetros!D16</f>
        <v>5894797</v>
      </c>
      <c r="F52" s="118">
        <v>0.5</v>
      </c>
      <c r="G52" s="23">
        <v>11</v>
      </c>
      <c r="H52" s="77">
        <f>+C52*E52*G52*F52</f>
        <v>389056602</v>
      </c>
      <c r="I52" s="74"/>
      <c r="J52" s="74"/>
      <c r="K52" s="74"/>
      <c r="L52" s="74"/>
    </row>
    <row r="53" spans="2:12" x14ac:dyDescent="0.25">
      <c r="B53" s="14" t="s">
        <v>702</v>
      </c>
      <c r="C53" s="21">
        <v>30</v>
      </c>
      <c r="D53" s="14" t="s">
        <v>104</v>
      </c>
      <c r="E53" s="77">
        <v>5000000</v>
      </c>
      <c r="F53" s="77"/>
      <c r="G53" s="23"/>
      <c r="H53" s="77">
        <f>+C53*E53</f>
        <v>150000000</v>
      </c>
      <c r="I53" s="74"/>
      <c r="J53" s="74"/>
      <c r="K53" s="74"/>
      <c r="L53" s="74"/>
    </row>
    <row r="54" spans="2:12" ht="24.75" x14ac:dyDescent="0.25">
      <c r="B54" s="14" t="s">
        <v>681</v>
      </c>
      <c r="C54" s="21"/>
      <c r="D54" s="14"/>
      <c r="E54" s="77"/>
      <c r="F54" s="77"/>
      <c r="G54" s="23"/>
      <c r="H54" s="96" t="s">
        <v>118</v>
      </c>
      <c r="I54" s="74"/>
      <c r="J54" s="74"/>
      <c r="K54" s="74"/>
      <c r="L54" s="74"/>
    </row>
    <row r="55" spans="2:12" x14ac:dyDescent="0.25">
      <c r="B55" s="139" t="s">
        <v>46</v>
      </c>
      <c r="C55" s="25"/>
      <c r="D55" s="14"/>
      <c r="E55" s="13"/>
      <c r="F55" s="13"/>
      <c r="G55" s="13"/>
      <c r="H55" s="26">
        <f>SUM(H51:H54)</f>
        <v>1122641505</v>
      </c>
    </row>
    <row r="56" spans="2:12" x14ac:dyDescent="0.25">
      <c r="B56" s="5" t="s">
        <v>701</v>
      </c>
    </row>
    <row r="67" spans="7:7" x14ac:dyDescent="0.25">
      <c r="G67" s="81"/>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X58"/>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9.28515625" style="1" bestFit="1" customWidth="1"/>
    <col min="5" max="22" width="14.85546875"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detallado'!B67</f>
        <v>3.3. Mejora en la gestión para la inocuidad del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detallado'!B68</f>
        <v>3.3.1. Actualización y adopción de los criterios de inocuidad y calidad del arroz para el consumo humano, de acuerdo con las normas del Codex Alimentarius.</v>
      </c>
      <c r="C8" s="18" t="s">
        <v>703</v>
      </c>
      <c r="D8" s="20"/>
      <c r="E8" s="116">
        <f>+$H$19</f>
        <v>24270050.5</v>
      </c>
      <c r="F8" s="117"/>
      <c r="G8" s="117"/>
      <c r="H8" s="116">
        <f>+$H$19</f>
        <v>24270050.5</v>
      </c>
      <c r="I8" s="117"/>
      <c r="J8" s="117"/>
      <c r="K8" s="116">
        <f>+$H$19</f>
        <v>24270050.5</v>
      </c>
      <c r="L8" s="117"/>
      <c r="M8" s="117"/>
      <c r="N8" s="116">
        <f>+$H$19</f>
        <v>24270050.5</v>
      </c>
      <c r="O8" s="117"/>
      <c r="P8" s="117"/>
      <c r="Q8" s="116">
        <f>+$H$19</f>
        <v>24270050.5</v>
      </c>
      <c r="R8" s="117"/>
      <c r="S8" s="117"/>
      <c r="T8" s="116">
        <f>+$H$19</f>
        <v>24270050.5</v>
      </c>
      <c r="U8" s="117"/>
      <c r="V8" s="117"/>
      <c r="W8" s="117">
        <f>SUM(D8:V8)</f>
        <v>145620303</v>
      </c>
    </row>
    <row r="9" spans="2:24" ht="36" x14ac:dyDescent="0.25">
      <c r="B9" s="18" t="str">
        <f>+'Presupuesto detallado'!B69</f>
        <v>3.3.2. Fortalecimiento de la gestión para la atención de episodios inusuales relacionados con la inocuidad en la cadena del arroz</v>
      </c>
      <c r="C9" s="19" t="s">
        <v>141</v>
      </c>
      <c r="D9" s="20"/>
      <c r="E9" s="116">
        <f>+$H$25</f>
        <v>110001127.5</v>
      </c>
      <c r="F9" s="116">
        <f t="shared" ref="F9:V9" si="0">+$H$25</f>
        <v>110001127.5</v>
      </c>
      <c r="G9" s="116">
        <f t="shared" si="0"/>
        <v>110001127.5</v>
      </c>
      <c r="H9" s="116">
        <f t="shared" si="0"/>
        <v>110001127.5</v>
      </c>
      <c r="I9" s="116">
        <f t="shared" si="0"/>
        <v>110001127.5</v>
      </c>
      <c r="J9" s="116">
        <f t="shared" si="0"/>
        <v>110001127.5</v>
      </c>
      <c r="K9" s="116">
        <f t="shared" si="0"/>
        <v>110001127.5</v>
      </c>
      <c r="L9" s="116">
        <f t="shared" si="0"/>
        <v>110001127.5</v>
      </c>
      <c r="M9" s="116">
        <f t="shared" si="0"/>
        <v>110001127.5</v>
      </c>
      <c r="N9" s="116">
        <f t="shared" si="0"/>
        <v>110001127.5</v>
      </c>
      <c r="O9" s="116">
        <f t="shared" si="0"/>
        <v>110001127.5</v>
      </c>
      <c r="P9" s="116">
        <f t="shared" si="0"/>
        <v>110001127.5</v>
      </c>
      <c r="Q9" s="116">
        <f t="shared" si="0"/>
        <v>110001127.5</v>
      </c>
      <c r="R9" s="116">
        <f t="shared" si="0"/>
        <v>110001127.5</v>
      </c>
      <c r="S9" s="116">
        <f t="shared" si="0"/>
        <v>110001127.5</v>
      </c>
      <c r="T9" s="116">
        <f t="shared" si="0"/>
        <v>110001127.5</v>
      </c>
      <c r="U9" s="116">
        <f t="shared" si="0"/>
        <v>110001127.5</v>
      </c>
      <c r="V9" s="116">
        <f t="shared" si="0"/>
        <v>110001127.5</v>
      </c>
      <c r="W9" s="117">
        <f t="shared" ref="W9:W11" si="1">SUM(E9:V9)</f>
        <v>1980020295</v>
      </c>
    </row>
    <row r="10" spans="2:24" ht="36" x14ac:dyDescent="0.25">
      <c r="B10" s="18" t="str">
        <f>+'Presupuesto detallado'!B70</f>
        <v>3.3.3. Estandarización y socialización de metodologías para el monitoreo de la inocuidad en la cadena del arroz.</v>
      </c>
      <c r="C10" s="18" t="s">
        <v>703</v>
      </c>
      <c r="D10" s="20"/>
      <c r="E10" s="116">
        <f>+$H$32</f>
        <v>123001127.5</v>
      </c>
      <c r="F10" s="116"/>
      <c r="G10" s="116"/>
      <c r="H10" s="116">
        <f>+$H$32</f>
        <v>123001127.5</v>
      </c>
      <c r="I10" s="116"/>
      <c r="J10" s="20"/>
      <c r="K10" s="116">
        <f>+$H$32</f>
        <v>123001127.5</v>
      </c>
      <c r="L10" s="20"/>
      <c r="M10" s="20"/>
      <c r="N10" s="116">
        <f>+$H$32</f>
        <v>123001127.5</v>
      </c>
      <c r="O10" s="20"/>
      <c r="P10" s="20"/>
      <c r="Q10" s="116">
        <f>+$H$32</f>
        <v>123001127.5</v>
      </c>
      <c r="R10" s="20"/>
      <c r="S10" s="20"/>
      <c r="T10" s="116">
        <f>+$H$32</f>
        <v>123001127.5</v>
      </c>
      <c r="U10" s="20"/>
      <c r="V10" s="20"/>
      <c r="W10" s="117">
        <f>SUM(E10:V10)</f>
        <v>738006765</v>
      </c>
    </row>
    <row r="11" spans="2:24" ht="48" x14ac:dyDescent="0.25">
      <c r="B11" s="18" t="str">
        <f>+'Presupuesto detallado'!B71</f>
        <v>3.3.4. Fortalecimiento técnico y presupuestal de los planes de inocuidad para el seguimiento y control de contaminantes químicos, metales pesados, y residuos agroquímicos, entre otros.</v>
      </c>
      <c r="C11" s="19" t="s">
        <v>141</v>
      </c>
      <c r="D11" s="20"/>
      <c r="E11" s="116">
        <f>+$G$42</f>
        <v>1837775444</v>
      </c>
      <c r="F11" s="116">
        <f t="shared" ref="F11:V11" si="2">+$G$42</f>
        <v>1837775444</v>
      </c>
      <c r="G11" s="116">
        <f t="shared" si="2"/>
        <v>1837775444</v>
      </c>
      <c r="H11" s="116">
        <f t="shared" si="2"/>
        <v>1837775444</v>
      </c>
      <c r="I11" s="116">
        <f t="shared" si="2"/>
        <v>1837775444</v>
      </c>
      <c r="J11" s="116">
        <f t="shared" si="2"/>
        <v>1837775444</v>
      </c>
      <c r="K11" s="116">
        <f t="shared" si="2"/>
        <v>1837775444</v>
      </c>
      <c r="L11" s="116">
        <f t="shared" si="2"/>
        <v>1837775444</v>
      </c>
      <c r="M11" s="116">
        <f t="shared" si="2"/>
        <v>1837775444</v>
      </c>
      <c r="N11" s="116">
        <f t="shared" si="2"/>
        <v>1837775444</v>
      </c>
      <c r="O11" s="116">
        <f t="shared" si="2"/>
        <v>1837775444</v>
      </c>
      <c r="P11" s="116">
        <f t="shared" si="2"/>
        <v>1837775444</v>
      </c>
      <c r="Q11" s="116">
        <f t="shared" si="2"/>
        <v>1837775444</v>
      </c>
      <c r="R11" s="116">
        <f t="shared" si="2"/>
        <v>1837775444</v>
      </c>
      <c r="S11" s="116">
        <f t="shared" si="2"/>
        <v>1837775444</v>
      </c>
      <c r="T11" s="116">
        <f t="shared" si="2"/>
        <v>1837775444</v>
      </c>
      <c r="U11" s="116">
        <f t="shared" si="2"/>
        <v>1837775444</v>
      </c>
      <c r="V11" s="116">
        <f t="shared" si="2"/>
        <v>1837775444</v>
      </c>
      <c r="W11" s="117">
        <f t="shared" si="1"/>
        <v>33079957992</v>
      </c>
    </row>
    <row r="12" spans="2:24" ht="48" x14ac:dyDescent="0.25">
      <c r="B12" s="18" t="str">
        <f>+'Presupuesto detallado'!B72</f>
        <v>3.3.5. Fortalecimiento de las capacidades institucionales (recursos físicos, humanos, tecnológicos y financieros) y de articulación en materia de inocuidad, en el ámbito central y seccional</v>
      </c>
      <c r="C12" s="19" t="s">
        <v>141</v>
      </c>
      <c r="D12" s="20"/>
      <c r="E12" s="116">
        <f>+$H$49</f>
        <v>260001127.5</v>
      </c>
      <c r="F12" s="116">
        <f>+$H$49</f>
        <v>260001127.5</v>
      </c>
      <c r="G12" s="117" t="str">
        <f>+$H$48</f>
        <v>Presupuesto relativo</v>
      </c>
      <c r="H12" s="117" t="str">
        <f t="shared" ref="H12:V12" si="3">+$H$48</f>
        <v>Presupuesto relativo</v>
      </c>
      <c r="I12" s="117" t="str">
        <f t="shared" si="3"/>
        <v>Presupuesto relativo</v>
      </c>
      <c r="J12" s="117" t="str">
        <f t="shared" si="3"/>
        <v>Presupuesto relativo</v>
      </c>
      <c r="K12" s="117" t="str">
        <f t="shared" si="3"/>
        <v>Presupuesto relativo</v>
      </c>
      <c r="L12" s="117" t="str">
        <f t="shared" si="3"/>
        <v>Presupuesto relativo</v>
      </c>
      <c r="M12" s="117" t="str">
        <f t="shared" si="3"/>
        <v>Presupuesto relativo</v>
      </c>
      <c r="N12" s="117" t="str">
        <f t="shared" si="3"/>
        <v>Presupuesto relativo</v>
      </c>
      <c r="O12" s="117" t="str">
        <f t="shared" si="3"/>
        <v>Presupuesto relativo</v>
      </c>
      <c r="P12" s="117" t="str">
        <f t="shared" si="3"/>
        <v>Presupuesto relativo</v>
      </c>
      <c r="Q12" s="117" t="str">
        <f t="shared" si="3"/>
        <v>Presupuesto relativo</v>
      </c>
      <c r="R12" s="117" t="str">
        <f t="shared" si="3"/>
        <v>Presupuesto relativo</v>
      </c>
      <c r="S12" s="117" t="str">
        <f t="shared" si="3"/>
        <v>Presupuesto relativo</v>
      </c>
      <c r="T12" s="117" t="str">
        <f t="shared" si="3"/>
        <v>Presupuesto relativo</v>
      </c>
      <c r="U12" s="117" t="str">
        <f t="shared" si="3"/>
        <v>Presupuesto relativo</v>
      </c>
      <c r="V12" s="117" t="str">
        <f t="shared" si="3"/>
        <v>Presupuesto relativo</v>
      </c>
      <c r="W12" s="117">
        <f>SUM(E12:V12)</f>
        <v>520002255</v>
      </c>
    </row>
    <row r="13" spans="2:24" ht="24" x14ac:dyDescent="0.25">
      <c r="B13" s="18" t="str">
        <f>+'Presupuesto detallado'!B73</f>
        <v>3.3.6. Fortalecimiento de la gestión para la  inocuidad en puertos, aeropuertos y pasos fronterizos</v>
      </c>
      <c r="C13" s="19" t="s">
        <v>141</v>
      </c>
      <c r="D13" s="20"/>
      <c r="E13" s="116">
        <f>+$H$56</f>
        <v>972641505</v>
      </c>
      <c r="F13" s="116">
        <f t="shared" ref="F13:V13" si="4">+$H$56</f>
        <v>972641505</v>
      </c>
      <c r="G13" s="116">
        <f t="shared" si="4"/>
        <v>972641505</v>
      </c>
      <c r="H13" s="116">
        <f t="shared" si="4"/>
        <v>972641505</v>
      </c>
      <c r="I13" s="116">
        <f t="shared" si="4"/>
        <v>972641505</v>
      </c>
      <c r="J13" s="116">
        <f t="shared" si="4"/>
        <v>972641505</v>
      </c>
      <c r="K13" s="116">
        <f t="shared" si="4"/>
        <v>972641505</v>
      </c>
      <c r="L13" s="116">
        <f t="shared" si="4"/>
        <v>972641505</v>
      </c>
      <c r="M13" s="116">
        <f t="shared" si="4"/>
        <v>972641505</v>
      </c>
      <c r="N13" s="116">
        <f t="shared" si="4"/>
        <v>972641505</v>
      </c>
      <c r="O13" s="116">
        <f t="shared" si="4"/>
        <v>972641505</v>
      </c>
      <c r="P13" s="116">
        <f t="shared" si="4"/>
        <v>972641505</v>
      </c>
      <c r="Q13" s="116">
        <f t="shared" si="4"/>
        <v>972641505</v>
      </c>
      <c r="R13" s="116">
        <f t="shared" si="4"/>
        <v>972641505</v>
      </c>
      <c r="S13" s="116">
        <f t="shared" si="4"/>
        <v>972641505</v>
      </c>
      <c r="T13" s="116">
        <f t="shared" si="4"/>
        <v>972641505</v>
      </c>
      <c r="U13" s="116">
        <f t="shared" si="4"/>
        <v>972641505</v>
      </c>
      <c r="V13" s="116">
        <f t="shared" si="4"/>
        <v>972641505</v>
      </c>
      <c r="W13" s="117">
        <f>SUM(E13:V13)</f>
        <v>17507547090</v>
      </c>
    </row>
    <row r="14" spans="2:24" ht="24" customHeight="1" x14ac:dyDescent="0.25">
      <c r="W14" s="162">
        <f>SUM(W8:W13)</f>
        <v>53971154700</v>
      </c>
    </row>
    <row r="15" spans="2:24" x14ac:dyDescent="0.25">
      <c r="B15" s="13" t="s">
        <v>413</v>
      </c>
      <c r="C15" s="13" t="s">
        <v>40</v>
      </c>
      <c r="D15" s="13" t="s">
        <v>41</v>
      </c>
      <c r="E15" s="13" t="s">
        <v>42</v>
      </c>
      <c r="F15" s="13" t="s">
        <v>554</v>
      </c>
      <c r="G15" s="13" t="s">
        <v>43</v>
      </c>
      <c r="H15" s="13" t="s">
        <v>44</v>
      </c>
      <c r="I15" s="5"/>
      <c r="W15" s="162">
        <f>+'Presupuesto detallado'!V67</f>
        <v>53971154700</v>
      </c>
    </row>
    <row r="16" spans="2:24" x14ac:dyDescent="0.25">
      <c r="B16" s="14" t="s">
        <v>641</v>
      </c>
      <c r="C16" s="21">
        <v>1</v>
      </c>
      <c r="D16" s="14" t="s">
        <v>100</v>
      </c>
      <c r="E16" s="77">
        <f>+Parámetros!D13</f>
        <v>8000082</v>
      </c>
      <c r="F16" s="118">
        <v>0.25</v>
      </c>
      <c r="G16" s="23">
        <v>11</v>
      </c>
      <c r="H16" s="77">
        <f>+C16*E16*G16*F16</f>
        <v>22000225.5</v>
      </c>
      <c r="I16" s="5"/>
      <c r="W16" s="221">
        <f>+W14-W15</f>
        <v>0</v>
      </c>
    </row>
    <row r="17" spans="2:9" x14ac:dyDescent="0.25">
      <c r="B17" s="14" t="s">
        <v>108</v>
      </c>
      <c r="C17" s="21">
        <v>1</v>
      </c>
      <c r="D17" s="14" t="s">
        <v>109</v>
      </c>
      <c r="E17" s="77">
        <f>+Parámetros!C32</f>
        <v>1000000</v>
      </c>
      <c r="F17" s="22"/>
      <c r="G17" s="23"/>
      <c r="H17" s="77">
        <f>+C17*E17</f>
        <v>1000000</v>
      </c>
      <c r="I17" s="5"/>
    </row>
    <row r="18" spans="2:9" x14ac:dyDescent="0.25">
      <c r="B18" s="14" t="s">
        <v>45</v>
      </c>
      <c r="C18" s="21">
        <v>3</v>
      </c>
      <c r="D18" s="14" t="s">
        <v>115</v>
      </c>
      <c r="E18" s="77">
        <f>+Parámetros!D23</f>
        <v>423275</v>
      </c>
      <c r="F18" s="13"/>
      <c r="G18" s="23"/>
      <c r="H18" s="77">
        <f>+C18*E18</f>
        <v>1269825</v>
      </c>
      <c r="I18" s="5"/>
    </row>
    <row r="19" spans="2:9" x14ac:dyDescent="0.25">
      <c r="B19" s="161" t="s">
        <v>46</v>
      </c>
      <c r="C19" s="25"/>
      <c r="D19" s="14"/>
      <c r="E19" s="13"/>
      <c r="F19" s="13"/>
      <c r="G19" s="13"/>
      <c r="H19" s="26">
        <f>SUM(H16:H18)</f>
        <v>24270050.5</v>
      </c>
    </row>
    <row r="20" spans="2:9" x14ac:dyDescent="0.25">
      <c r="B20" s="59"/>
      <c r="C20" s="90"/>
      <c r="D20" s="91"/>
      <c r="E20" s="92"/>
      <c r="F20" s="92"/>
      <c r="G20" s="92"/>
      <c r="H20" s="93"/>
    </row>
    <row r="21" spans="2:9" x14ac:dyDescent="0.25">
      <c r="B21" s="59"/>
      <c r="C21" s="90"/>
      <c r="D21" s="91"/>
      <c r="E21" s="92"/>
      <c r="F21" s="92"/>
      <c r="G21" s="92"/>
      <c r="H21" s="93"/>
    </row>
    <row r="22" spans="2:9" x14ac:dyDescent="0.25">
      <c r="B22" s="13" t="s">
        <v>414</v>
      </c>
      <c r="C22" s="13" t="s">
        <v>40</v>
      </c>
      <c r="D22" s="13" t="s">
        <v>41</v>
      </c>
      <c r="E22" s="13" t="s">
        <v>42</v>
      </c>
      <c r="F22" s="13" t="s">
        <v>554</v>
      </c>
      <c r="G22" s="13" t="s">
        <v>43</v>
      </c>
      <c r="H22" s="13" t="s">
        <v>44</v>
      </c>
    </row>
    <row r="23" spans="2:9" x14ac:dyDescent="0.25">
      <c r="B23" s="14" t="s">
        <v>666</v>
      </c>
      <c r="C23" s="21">
        <v>5</v>
      </c>
      <c r="D23" s="14" t="s">
        <v>100</v>
      </c>
      <c r="E23" s="77">
        <f>+Parámetros!D13</f>
        <v>8000082</v>
      </c>
      <c r="F23" s="118">
        <v>0.25</v>
      </c>
      <c r="G23" s="23">
        <v>11</v>
      </c>
      <c r="H23" s="77">
        <f>+C23*E23*G23*F23</f>
        <v>110001127.5</v>
      </c>
    </row>
    <row r="24" spans="2:9" ht="24.75" x14ac:dyDescent="0.25">
      <c r="B24" s="56" t="s">
        <v>200</v>
      </c>
      <c r="C24" s="21"/>
      <c r="D24" s="14"/>
      <c r="E24" s="22"/>
      <c r="F24" s="22"/>
      <c r="G24" s="23"/>
      <c r="H24" s="97" t="str">
        <f>+Parámetros!C4</f>
        <v>Presupuesto relativo</v>
      </c>
    </row>
    <row r="25" spans="2:9" x14ac:dyDescent="0.25">
      <c r="B25" s="161" t="s">
        <v>46</v>
      </c>
      <c r="C25" s="25"/>
      <c r="D25" s="14"/>
      <c r="E25" s="13"/>
      <c r="F25" s="13"/>
      <c r="G25" s="13"/>
      <c r="H25" s="26">
        <f>SUM(H23:H24)</f>
        <v>110001127.5</v>
      </c>
    </row>
    <row r="26" spans="2:9" x14ac:dyDescent="0.25">
      <c r="B26" s="59"/>
      <c r="C26" s="90"/>
      <c r="D26" s="91"/>
      <c r="E26" s="92"/>
      <c r="F26" s="92"/>
      <c r="G26" s="92"/>
      <c r="H26" s="93"/>
    </row>
    <row r="27" spans="2:9" x14ac:dyDescent="0.25">
      <c r="B27" s="59"/>
      <c r="C27" s="90"/>
      <c r="D27" s="91"/>
      <c r="E27" s="92"/>
      <c r="F27" s="92"/>
      <c r="G27" s="92"/>
      <c r="H27" s="93"/>
    </row>
    <row r="28" spans="2:9" x14ac:dyDescent="0.25">
      <c r="B28" s="13" t="s">
        <v>415</v>
      </c>
      <c r="C28" s="13" t="s">
        <v>40</v>
      </c>
      <c r="D28" s="13" t="s">
        <v>41</v>
      </c>
      <c r="E28" s="13" t="s">
        <v>42</v>
      </c>
      <c r="F28" s="13" t="s">
        <v>554</v>
      </c>
      <c r="G28" s="13" t="s">
        <v>43</v>
      </c>
      <c r="H28" s="13" t="s">
        <v>44</v>
      </c>
    </row>
    <row r="29" spans="2:9" x14ac:dyDescent="0.25">
      <c r="B29" s="14" t="s">
        <v>666</v>
      </c>
      <c r="C29" s="21">
        <v>5</v>
      </c>
      <c r="D29" s="14" t="s">
        <v>100</v>
      </c>
      <c r="E29" s="77">
        <f>+Parámetros!D13</f>
        <v>8000082</v>
      </c>
      <c r="F29" s="118">
        <v>0.25</v>
      </c>
      <c r="G29" s="23">
        <v>11</v>
      </c>
      <c r="H29" s="77">
        <f>+C29*E29*G29*F29</f>
        <v>110001127.5</v>
      </c>
    </row>
    <row r="30" spans="2:9" x14ac:dyDescent="0.25">
      <c r="B30" s="14" t="s">
        <v>315</v>
      </c>
      <c r="C30" s="21">
        <v>1</v>
      </c>
      <c r="D30" s="14" t="s">
        <v>199</v>
      </c>
      <c r="E30" s="77">
        <v>3000000</v>
      </c>
      <c r="F30" s="77"/>
      <c r="G30" s="23"/>
      <c r="H30" s="77">
        <f>+C30*E30</f>
        <v>3000000</v>
      </c>
    </row>
    <row r="31" spans="2:9" x14ac:dyDescent="0.25">
      <c r="B31" s="14" t="s">
        <v>314</v>
      </c>
      <c r="C31" s="21">
        <v>2</v>
      </c>
      <c r="D31" s="14" t="s">
        <v>199</v>
      </c>
      <c r="E31" s="77">
        <v>5000000</v>
      </c>
      <c r="F31" s="77"/>
      <c r="G31" s="23"/>
      <c r="H31" s="77">
        <f>+C31*E31</f>
        <v>10000000</v>
      </c>
    </row>
    <row r="32" spans="2:9" x14ac:dyDescent="0.25">
      <c r="B32" s="161" t="s">
        <v>46</v>
      </c>
      <c r="C32" s="25"/>
      <c r="D32" s="14"/>
      <c r="E32" s="13"/>
      <c r="F32" s="13"/>
      <c r="G32" s="13"/>
      <c r="H32" s="26">
        <f>SUM(H29:H31)</f>
        <v>123001127.5</v>
      </c>
    </row>
    <row r="33" spans="2:14" x14ac:dyDescent="0.25">
      <c r="B33" s="59"/>
      <c r="C33" s="90"/>
      <c r="D33" s="91"/>
      <c r="E33" s="92"/>
      <c r="F33" s="92"/>
      <c r="G33" s="92"/>
      <c r="H33" s="93"/>
    </row>
    <row r="34" spans="2:14" x14ac:dyDescent="0.25">
      <c r="B34" s="59"/>
      <c r="C34" s="90"/>
      <c r="D34" s="91"/>
      <c r="E34" s="92"/>
      <c r="F34" s="92"/>
      <c r="G34" s="92"/>
      <c r="H34" s="93"/>
    </row>
    <row r="35" spans="2:14" x14ac:dyDescent="0.25">
      <c r="B35" s="13" t="s">
        <v>416</v>
      </c>
      <c r="C35" s="13" t="s">
        <v>40</v>
      </c>
      <c r="D35" s="13" t="s">
        <v>41</v>
      </c>
      <c r="E35" s="13" t="s">
        <v>42</v>
      </c>
      <c r="F35" s="13" t="s">
        <v>43</v>
      </c>
      <c r="G35" s="13" t="s">
        <v>44</v>
      </c>
      <c r="H35" s="93"/>
    </row>
    <row r="36" spans="2:14" x14ac:dyDescent="0.25">
      <c r="B36" s="14" t="s">
        <v>551</v>
      </c>
      <c r="C36" s="21">
        <v>1</v>
      </c>
      <c r="D36" s="14" t="s">
        <v>100</v>
      </c>
      <c r="E36" s="77">
        <f>+Parámetros!D11</f>
        <v>11508889</v>
      </c>
      <c r="F36" s="23">
        <v>11</v>
      </c>
      <c r="G36" s="77">
        <f>+C36*E36*F36</f>
        <v>126597779</v>
      </c>
      <c r="H36" s="93"/>
    </row>
    <row r="37" spans="2:14" x14ac:dyDescent="0.25">
      <c r="B37" s="14" t="s">
        <v>708</v>
      </c>
      <c r="C37" s="21">
        <v>5</v>
      </c>
      <c r="D37" s="14" t="s">
        <v>100</v>
      </c>
      <c r="E37" s="77">
        <f>+Parámetros!D16</f>
        <v>5894797</v>
      </c>
      <c r="F37" s="23">
        <v>11</v>
      </c>
      <c r="G37" s="77">
        <f>+C37*E37*F37</f>
        <v>324213835</v>
      </c>
      <c r="H37" s="93"/>
    </row>
    <row r="38" spans="2:14" x14ac:dyDescent="0.25">
      <c r="B38" s="14" t="s">
        <v>709</v>
      </c>
      <c r="C38" s="21">
        <v>150</v>
      </c>
      <c r="D38" s="14" t="s">
        <v>707</v>
      </c>
      <c r="E38" s="77">
        <v>700000</v>
      </c>
      <c r="F38" s="23"/>
      <c r="G38" s="77">
        <f>+C38*E38</f>
        <v>105000000</v>
      </c>
      <c r="H38" s="93"/>
    </row>
    <row r="39" spans="2:14" x14ac:dyDescent="0.25">
      <c r="B39" s="56" t="s">
        <v>45</v>
      </c>
      <c r="C39" s="21">
        <v>20</v>
      </c>
      <c r="D39" s="14" t="s">
        <v>682</v>
      </c>
      <c r="E39" s="77">
        <f>+Parámetros!F24</f>
        <v>1098191.5</v>
      </c>
      <c r="F39" s="23"/>
      <c r="G39" s="77">
        <f>+C39*E39</f>
        <v>21963830</v>
      </c>
      <c r="H39" s="93"/>
    </row>
    <row r="40" spans="2:14" x14ac:dyDescent="0.25">
      <c r="B40" s="56" t="s">
        <v>711</v>
      </c>
      <c r="C40" s="21">
        <v>1800</v>
      </c>
      <c r="D40" s="14" t="s">
        <v>710</v>
      </c>
      <c r="E40" s="77">
        <v>700000</v>
      </c>
      <c r="F40" s="23"/>
      <c r="G40" s="77">
        <f>+C40*E40</f>
        <v>1260000000</v>
      </c>
      <c r="H40" s="93"/>
    </row>
    <row r="41" spans="2:14" ht="24.75" x14ac:dyDescent="0.25">
      <c r="B41" s="56" t="s">
        <v>684</v>
      </c>
      <c r="C41" s="21"/>
      <c r="D41" s="14"/>
      <c r="E41" s="22"/>
      <c r="F41" s="23"/>
      <c r="G41" s="97" t="str">
        <f>+Parámetros!C4</f>
        <v>Presupuesto relativo</v>
      </c>
      <c r="H41" s="93"/>
    </row>
    <row r="42" spans="2:14" x14ac:dyDescent="0.25">
      <c r="B42" s="161" t="s">
        <v>46</v>
      </c>
      <c r="C42" s="25"/>
      <c r="D42" s="14"/>
      <c r="E42" s="13"/>
      <c r="F42" s="13"/>
      <c r="G42" s="26">
        <f>SUM(G36:G41)</f>
        <v>1837775444</v>
      </c>
      <c r="H42" s="93"/>
    </row>
    <row r="43" spans="2:14" x14ac:dyDescent="0.25">
      <c r="B43" s="59"/>
      <c r="C43" s="90"/>
      <c r="D43" s="91"/>
      <c r="E43" s="92"/>
      <c r="F43" s="92"/>
      <c r="G43" s="92"/>
      <c r="H43" s="93"/>
    </row>
    <row r="44" spans="2:14" x14ac:dyDescent="0.25">
      <c r="B44" s="59"/>
      <c r="C44" s="90"/>
      <c r="D44" s="91"/>
      <c r="E44" s="92"/>
      <c r="F44" s="92"/>
      <c r="G44" s="92"/>
      <c r="H44" s="93"/>
    </row>
    <row r="45" spans="2:14" x14ac:dyDescent="0.25">
      <c r="B45" s="13" t="s">
        <v>704</v>
      </c>
      <c r="C45" s="13" t="s">
        <v>40</v>
      </c>
      <c r="D45" s="13" t="s">
        <v>41</v>
      </c>
      <c r="E45" s="13" t="s">
        <v>42</v>
      </c>
      <c r="F45" s="13" t="s">
        <v>554</v>
      </c>
      <c r="G45" s="13" t="s">
        <v>43</v>
      </c>
      <c r="H45" s="13" t="s">
        <v>44</v>
      </c>
      <c r="J45" s="74"/>
      <c r="K45" s="74"/>
      <c r="L45" s="74"/>
      <c r="M45" s="74"/>
      <c r="N45" s="74"/>
    </row>
    <row r="46" spans="2:14" x14ac:dyDescent="0.25">
      <c r="B46" s="14" t="s">
        <v>641</v>
      </c>
      <c r="C46" s="21">
        <v>5</v>
      </c>
      <c r="D46" s="14" t="s">
        <v>100</v>
      </c>
      <c r="E46" s="77">
        <f>+Parámetros!D13</f>
        <v>8000082</v>
      </c>
      <c r="F46" s="118">
        <v>0.25</v>
      </c>
      <c r="G46" s="23">
        <v>11</v>
      </c>
      <c r="H46" s="77">
        <f>+C46*E46*G46*F46</f>
        <v>110001127.5</v>
      </c>
      <c r="J46" s="74"/>
      <c r="K46" s="74"/>
      <c r="L46" s="260"/>
      <c r="M46" s="74"/>
      <c r="N46" s="74"/>
    </row>
    <row r="47" spans="2:14" x14ac:dyDescent="0.25">
      <c r="B47" s="14" t="s">
        <v>316</v>
      </c>
      <c r="C47" s="21">
        <v>5</v>
      </c>
      <c r="D47" s="14" t="s">
        <v>199</v>
      </c>
      <c r="E47" s="77">
        <v>30000000</v>
      </c>
      <c r="F47" s="23"/>
      <c r="G47" s="23"/>
      <c r="H47" s="77">
        <f>+C47*E47</f>
        <v>150000000</v>
      </c>
      <c r="J47" s="74"/>
      <c r="K47" s="74"/>
      <c r="L47" s="74"/>
      <c r="M47" s="74"/>
      <c r="N47" s="74"/>
    </row>
    <row r="48" spans="2:14" ht="24.75" x14ac:dyDescent="0.25">
      <c r="B48" s="56" t="s">
        <v>200</v>
      </c>
      <c r="C48" s="21"/>
      <c r="D48" s="14"/>
      <c r="E48" s="22"/>
      <c r="F48" s="23"/>
      <c r="G48" s="23"/>
      <c r="H48" s="97" t="str">
        <f>+Parámetros!C4</f>
        <v>Presupuesto relativo</v>
      </c>
      <c r="J48" s="74"/>
      <c r="K48" s="74"/>
      <c r="L48" s="74"/>
      <c r="M48" s="74"/>
      <c r="N48" s="74"/>
    </row>
    <row r="49" spans="2:14" x14ac:dyDescent="0.25">
      <c r="B49" s="161" t="s">
        <v>46</v>
      </c>
      <c r="C49" s="25"/>
      <c r="D49" s="14"/>
      <c r="E49" s="13"/>
      <c r="F49" s="13"/>
      <c r="G49" s="13"/>
      <c r="H49" s="26">
        <f>+H46+H47</f>
        <v>260001127.5</v>
      </c>
      <c r="J49" s="74"/>
      <c r="K49" s="74"/>
      <c r="L49" s="260"/>
      <c r="M49" s="74"/>
      <c r="N49" s="74"/>
    </row>
    <row r="50" spans="2:14" x14ac:dyDescent="0.25">
      <c r="B50" s="59"/>
      <c r="C50" s="90"/>
      <c r="D50" s="91"/>
      <c r="E50" s="92"/>
      <c r="F50" s="92"/>
      <c r="G50" s="92"/>
      <c r="H50" s="93"/>
      <c r="J50" s="74"/>
      <c r="K50" s="74"/>
      <c r="L50" s="74"/>
      <c r="M50" s="259"/>
      <c r="N50" s="74"/>
    </row>
    <row r="51" spans="2:14" x14ac:dyDescent="0.25">
      <c r="B51" s="59"/>
      <c r="C51" s="90"/>
      <c r="D51" s="91"/>
      <c r="E51" s="92"/>
      <c r="F51" s="92"/>
      <c r="G51" s="92"/>
      <c r="H51" s="93"/>
      <c r="J51" s="74"/>
      <c r="K51" s="74"/>
      <c r="L51" s="74"/>
      <c r="M51" s="74"/>
    </row>
    <row r="52" spans="2:14" x14ac:dyDescent="0.25">
      <c r="B52" s="13" t="s">
        <v>706</v>
      </c>
      <c r="C52" s="13" t="s">
        <v>40</v>
      </c>
      <c r="D52" s="13" t="s">
        <v>41</v>
      </c>
      <c r="E52" s="13" t="s">
        <v>42</v>
      </c>
      <c r="F52" s="13" t="s">
        <v>554</v>
      </c>
      <c r="G52" s="13" t="s">
        <v>43</v>
      </c>
      <c r="H52" s="13" t="s">
        <v>44</v>
      </c>
    </row>
    <row r="53" spans="2:14" x14ac:dyDescent="0.25">
      <c r="B53" s="14" t="s">
        <v>699</v>
      </c>
      <c r="C53" s="21">
        <v>18</v>
      </c>
      <c r="D53" s="14" t="s">
        <v>251</v>
      </c>
      <c r="E53" s="77">
        <f>+Parámetros!D16</f>
        <v>5894797</v>
      </c>
      <c r="F53" s="118">
        <v>0.5</v>
      </c>
      <c r="G53" s="23">
        <v>11</v>
      </c>
      <c r="H53" s="77">
        <f>+C53*E53*G53*F53</f>
        <v>583584903</v>
      </c>
    </row>
    <row r="54" spans="2:14" x14ac:dyDescent="0.25">
      <c r="B54" s="14" t="s">
        <v>700</v>
      </c>
      <c r="C54" s="21">
        <v>12</v>
      </c>
      <c r="D54" s="14" t="s">
        <v>251</v>
      </c>
      <c r="E54" s="77">
        <f>+Parámetros!D16</f>
        <v>5894797</v>
      </c>
      <c r="F54" s="118">
        <v>0.5</v>
      </c>
      <c r="G54" s="23">
        <v>11</v>
      </c>
      <c r="H54" s="77">
        <f>+C54*E54*G54*F54</f>
        <v>389056602</v>
      </c>
    </row>
    <row r="55" spans="2:14" ht="24.75" x14ac:dyDescent="0.25">
      <c r="B55" s="56" t="s">
        <v>681</v>
      </c>
      <c r="C55" s="21"/>
      <c r="D55" s="14"/>
      <c r="E55" s="77"/>
      <c r="F55" s="77"/>
      <c r="G55" s="23"/>
      <c r="H55" s="96" t="s">
        <v>118</v>
      </c>
    </row>
    <row r="56" spans="2:14" x14ac:dyDescent="0.25">
      <c r="B56" s="161" t="s">
        <v>46</v>
      </c>
      <c r="C56" s="25"/>
      <c r="D56" s="14"/>
      <c r="E56" s="13"/>
      <c r="F56" s="13"/>
      <c r="G56" s="13"/>
      <c r="H56" s="26">
        <f>SUM(H53:H55)</f>
        <v>972641505</v>
      </c>
    </row>
    <row r="57" spans="2:14" x14ac:dyDescent="0.25">
      <c r="B57" s="5" t="s">
        <v>705</v>
      </c>
    </row>
    <row r="58" spans="2:14" x14ac:dyDescent="0.25">
      <c r="B58" s="59"/>
      <c r="C58" s="90"/>
      <c r="D58" s="91"/>
      <c r="E58" s="92"/>
      <c r="F58" s="92"/>
      <c r="G58" s="92"/>
      <c r="H58" s="93"/>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3"/>
  <dimension ref="B2:X33"/>
  <sheetViews>
    <sheetView topLeftCell="A10"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3.42578125" style="1" bestFit="1" customWidth="1"/>
    <col min="6" max="6" width="11.5703125" style="1" bestFit="1" customWidth="1"/>
    <col min="7" max="7" width="14" style="1" bestFit="1" customWidth="1"/>
    <col min="8" max="8" width="13.85546875" style="1" bestFit="1" customWidth="1"/>
    <col min="9" max="11" width="14.42578125" style="1" bestFit="1" customWidth="1"/>
    <col min="12" max="16" width="12.7109375" style="1" bestFit="1" customWidth="1"/>
    <col min="17" max="22" width="11.42578125" style="1"/>
    <col min="23" max="23" width="15.85546875" style="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detallado'!B74</f>
        <v>3.4. Fortalecimiento en la gestión de diplomacia sanitaria para el arroz y sus subproductos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4.25" customHeight="1" x14ac:dyDescent="0.25">
      <c r="B8" s="18" t="str">
        <f>+'Presupuesto detallado'!B75</f>
        <v>3.4.1. Identificación de países potenciales para la importación de semilla, con el fin de realizar las negociaciones y la diplomacia sanitaria</v>
      </c>
      <c r="C8" s="19" t="s">
        <v>285</v>
      </c>
      <c r="D8" s="20"/>
      <c r="E8" s="20"/>
      <c r="F8" s="20"/>
      <c r="G8" s="137">
        <f>+$H$15</f>
        <v>15368580</v>
      </c>
      <c r="H8" s="137">
        <f t="shared" ref="H8:I8" si="0">+$H$15</f>
        <v>15368580</v>
      </c>
      <c r="I8" s="137">
        <f t="shared" si="0"/>
        <v>15368580</v>
      </c>
      <c r="J8" s="56"/>
      <c r="K8" s="56"/>
      <c r="L8" s="56"/>
      <c r="M8" s="56"/>
      <c r="N8" s="56"/>
      <c r="O8" s="56"/>
      <c r="P8" s="56"/>
      <c r="Q8" s="20"/>
      <c r="R8" s="20"/>
      <c r="S8" s="20"/>
      <c r="T8" s="20"/>
      <c r="U8" s="20"/>
      <c r="V8" s="20"/>
      <c r="W8" s="137">
        <f>SUM(D8:V8)</f>
        <v>46105740</v>
      </c>
    </row>
    <row r="9" spans="2:24" ht="48" x14ac:dyDescent="0.25">
      <c r="B9" s="18" t="str">
        <f>+'Presupuesto detallado'!B76</f>
        <v>3.4.2. Identificación de países potenciales para la exportación de semilla, arroz, subproductos y derivados, con el fin de realizar las negociaciones y la diplomacia sanitaria</v>
      </c>
      <c r="C9" s="19" t="s">
        <v>8</v>
      </c>
      <c r="D9" s="20"/>
      <c r="E9" s="20"/>
      <c r="F9" s="20"/>
      <c r="G9" s="116">
        <f>+$H$22</f>
        <v>58768230</v>
      </c>
      <c r="H9" s="116">
        <f t="shared" ref="H9:P9" si="1">+$H$22</f>
        <v>58768230</v>
      </c>
      <c r="I9" s="116">
        <f t="shared" si="1"/>
        <v>58768230</v>
      </c>
      <c r="J9" s="116">
        <f t="shared" si="1"/>
        <v>58768230</v>
      </c>
      <c r="K9" s="116">
        <f t="shared" si="1"/>
        <v>58768230</v>
      </c>
      <c r="L9" s="116">
        <f t="shared" si="1"/>
        <v>58768230</v>
      </c>
      <c r="M9" s="116">
        <f t="shared" si="1"/>
        <v>58768230</v>
      </c>
      <c r="N9" s="116">
        <f t="shared" si="1"/>
        <v>58768230</v>
      </c>
      <c r="O9" s="116">
        <f t="shared" si="1"/>
        <v>58768230</v>
      </c>
      <c r="P9" s="116">
        <f t="shared" si="1"/>
        <v>58768230</v>
      </c>
      <c r="Q9" s="20"/>
      <c r="R9" s="20"/>
      <c r="S9" s="20"/>
      <c r="T9" s="20"/>
      <c r="U9" s="20"/>
      <c r="V9" s="20"/>
      <c r="W9" s="137">
        <f t="shared" ref="W9:W11" si="2">SUM(D9:V9)</f>
        <v>587682300</v>
      </c>
    </row>
    <row r="10" spans="2:24" ht="60" x14ac:dyDescent="0.25">
      <c r="B10" s="18" t="str">
        <f>+'Presupuesto detallado'!B77</f>
        <v>3.4.3. Armonización de medidas equivalentes bilaterales, en materia de vigilancia epidemiológica, control fitosanitario y de calidad e inocuidad para insumos, productos y subproductos del arroz, con países que se generen intercambios comerciales</v>
      </c>
      <c r="C10" s="19" t="s">
        <v>8</v>
      </c>
      <c r="D10" s="20"/>
      <c r="E10" s="20"/>
      <c r="F10" s="20"/>
      <c r="G10" s="116">
        <f>+$H$27</f>
        <v>33810876</v>
      </c>
      <c r="H10" s="116">
        <f t="shared" ref="H10:P10" si="3">+$H$27</f>
        <v>33810876</v>
      </c>
      <c r="I10" s="116">
        <f t="shared" si="3"/>
        <v>33810876</v>
      </c>
      <c r="J10" s="116">
        <f t="shared" si="3"/>
        <v>33810876</v>
      </c>
      <c r="K10" s="116">
        <f t="shared" si="3"/>
        <v>33810876</v>
      </c>
      <c r="L10" s="116">
        <f t="shared" si="3"/>
        <v>33810876</v>
      </c>
      <c r="M10" s="116">
        <f t="shared" si="3"/>
        <v>33810876</v>
      </c>
      <c r="N10" s="116">
        <f t="shared" si="3"/>
        <v>33810876</v>
      </c>
      <c r="O10" s="116">
        <f t="shared" si="3"/>
        <v>33810876</v>
      </c>
      <c r="P10" s="116">
        <f t="shared" si="3"/>
        <v>33810876</v>
      </c>
      <c r="Q10" s="20"/>
      <c r="R10" s="20"/>
      <c r="S10" s="20"/>
      <c r="T10" s="20"/>
      <c r="U10" s="20"/>
      <c r="V10" s="20"/>
      <c r="W10" s="137">
        <f t="shared" si="2"/>
        <v>338108760</v>
      </c>
    </row>
    <row r="11" spans="2:24" ht="48" x14ac:dyDescent="0.25">
      <c r="B11" s="18" t="str">
        <f>+'Presupuesto detallado'!B78</f>
        <v xml:space="preserve">3.4.4. Fortalecimiento de la articulación institucional para garantizar la actualización de la información, que facilite los intercambios comerciales del arroz, subproductos y derivados </v>
      </c>
      <c r="C11" s="19" t="s">
        <v>8</v>
      </c>
      <c r="D11" s="20"/>
      <c r="E11" s="20"/>
      <c r="F11" s="20"/>
      <c r="G11" s="116">
        <f>+$H$33</f>
        <v>22540584</v>
      </c>
      <c r="H11" s="116">
        <f t="shared" ref="H11:P11" si="4">+$H$33</f>
        <v>22540584</v>
      </c>
      <c r="I11" s="116">
        <f t="shared" si="4"/>
        <v>22540584</v>
      </c>
      <c r="J11" s="116">
        <f t="shared" si="4"/>
        <v>22540584</v>
      </c>
      <c r="K11" s="116">
        <f t="shared" si="4"/>
        <v>22540584</v>
      </c>
      <c r="L11" s="116">
        <f t="shared" si="4"/>
        <v>22540584</v>
      </c>
      <c r="M11" s="116">
        <f t="shared" si="4"/>
        <v>22540584</v>
      </c>
      <c r="N11" s="116">
        <f t="shared" si="4"/>
        <v>22540584</v>
      </c>
      <c r="O11" s="116">
        <f t="shared" si="4"/>
        <v>22540584</v>
      </c>
      <c r="P11" s="116">
        <f t="shared" si="4"/>
        <v>22540584</v>
      </c>
      <c r="Q11" s="20"/>
      <c r="R11" s="20"/>
      <c r="S11" s="20"/>
      <c r="T11" s="20"/>
      <c r="U11" s="20"/>
      <c r="V11" s="20"/>
      <c r="W11" s="137">
        <f t="shared" si="2"/>
        <v>225405840</v>
      </c>
    </row>
    <row r="12" spans="2:24" ht="24" customHeight="1" x14ac:dyDescent="0.25">
      <c r="W12" s="162">
        <f>SUM(W8:W11)</f>
        <v>1197302640</v>
      </c>
    </row>
    <row r="13" spans="2:24" x14ac:dyDescent="0.25">
      <c r="B13" s="13" t="s">
        <v>713</v>
      </c>
      <c r="C13" s="13" t="s">
        <v>40</v>
      </c>
      <c r="D13" s="13" t="s">
        <v>41</v>
      </c>
      <c r="E13" s="13" t="s">
        <v>42</v>
      </c>
      <c r="F13" s="13" t="s">
        <v>712</v>
      </c>
      <c r="G13" s="13" t="s">
        <v>43</v>
      </c>
      <c r="H13" s="13" t="s">
        <v>44</v>
      </c>
      <c r="I13" s="5"/>
      <c r="W13" s="162">
        <f>+'Presupuesto detallado'!V74</f>
        <v>1197302640</v>
      </c>
    </row>
    <row r="14" spans="2:24" ht="13.5" customHeight="1" x14ac:dyDescent="0.25">
      <c r="B14" s="14" t="s">
        <v>666</v>
      </c>
      <c r="C14" s="21">
        <v>1</v>
      </c>
      <c r="D14" s="14" t="s">
        <v>100</v>
      </c>
      <c r="E14" s="77">
        <f>+Parámetros!D12</f>
        <v>10245720</v>
      </c>
      <c r="F14" s="118">
        <v>0.25</v>
      </c>
      <c r="G14" s="23">
        <v>6</v>
      </c>
      <c r="H14" s="77">
        <f>+C14*E14*G14*F14</f>
        <v>15368580</v>
      </c>
      <c r="I14" s="5"/>
      <c r="W14" s="221">
        <f>+W12-W13</f>
        <v>0</v>
      </c>
    </row>
    <row r="15" spans="2:24" x14ac:dyDescent="0.25">
      <c r="B15" s="24" t="s">
        <v>46</v>
      </c>
      <c r="C15" s="25"/>
      <c r="D15" s="14"/>
      <c r="E15" s="13"/>
      <c r="F15" s="13"/>
      <c r="G15" s="13"/>
      <c r="H15" s="26">
        <f>SUM(H14:H14)</f>
        <v>15368580</v>
      </c>
      <c r="I15" s="5"/>
    </row>
    <row r="16" spans="2:24" x14ac:dyDescent="0.25">
      <c r="B16" s="5"/>
      <c r="C16" s="5"/>
      <c r="D16" s="5"/>
      <c r="E16" s="5"/>
      <c r="F16" s="5"/>
      <c r="G16" s="5"/>
      <c r="H16" s="5"/>
    </row>
    <row r="17" spans="2:8" x14ac:dyDescent="0.25">
      <c r="B17" s="5"/>
      <c r="C17" s="5"/>
      <c r="D17" s="5"/>
      <c r="E17" s="5"/>
      <c r="F17" s="5"/>
      <c r="G17" s="5"/>
      <c r="H17" s="5"/>
    </row>
    <row r="18" spans="2:8" x14ac:dyDescent="0.25">
      <c r="B18" s="13" t="s">
        <v>714</v>
      </c>
      <c r="C18" s="13" t="s">
        <v>40</v>
      </c>
      <c r="D18" s="13" t="s">
        <v>41</v>
      </c>
      <c r="E18" s="13" t="s">
        <v>42</v>
      </c>
      <c r="F18" s="13" t="s">
        <v>712</v>
      </c>
      <c r="G18" s="13" t="s">
        <v>43</v>
      </c>
      <c r="H18" s="13" t="s">
        <v>44</v>
      </c>
    </row>
    <row r="19" spans="2:8" x14ac:dyDescent="0.25">
      <c r="B19" s="14" t="s">
        <v>666</v>
      </c>
      <c r="C19" s="21">
        <v>1</v>
      </c>
      <c r="D19" s="14" t="s">
        <v>100</v>
      </c>
      <c r="E19" s="77">
        <f>+Parámetros!D12</f>
        <v>10245720</v>
      </c>
      <c r="F19" s="118">
        <v>0.25</v>
      </c>
      <c r="G19" s="23">
        <v>11</v>
      </c>
      <c r="H19" s="77">
        <f>+C19*E19*G19*F19</f>
        <v>28175730</v>
      </c>
    </row>
    <row r="20" spans="2:8" x14ac:dyDescent="0.25">
      <c r="B20" s="14" t="s">
        <v>313</v>
      </c>
      <c r="C20" s="21">
        <v>5</v>
      </c>
      <c r="D20" s="14" t="s">
        <v>194</v>
      </c>
      <c r="E20" s="77">
        <f>+Parámetros!C33</f>
        <v>3000000</v>
      </c>
      <c r="F20" s="13"/>
      <c r="G20" s="23"/>
      <c r="H20" s="77">
        <f>+C20*E20</f>
        <v>15000000</v>
      </c>
    </row>
    <row r="21" spans="2:8" x14ac:dyDescent="0.25">
      <c r="B21" s="14" t="s">
        <v>45</v>
      </c>
      <c r="C21" s="21">
        <v>5</v>
      </c>
      <c r="D21" s="14" t="s">
        <v>135</v>
      </c>
      <c r="E21" s="77">
        <f>270*3300*3.5</f>
        <v>3118500</v>
      </c>
      <c r="F21" s="20"/>
      <c r="G21" s="23"/>
      <c r="H21" s="77">
        <f>+C21*E21</f>
        <v>15592500</v>
      </c>
    </row>
    <row r="22" spans="2:8" x14ac:dyDescent="0.25">
      <c r="B22" s="139" t="s">
        <v>46</v>
      </c>
      <c r="C22" s="25"/>
      <c r="D22" s="14"/>
      <c r="E22" s="13"/>
      <c r="F22" s="20"/>
      <c r="G22" s="13"/>
      <c r="H22" s="26">
        <f>SUM(H19:H21)</f>
        <v>58768230</v>
      </c>
    </row>
    <row r="25" spans="2:8" x14ac:dyDescent="0.25">
      <c r="B25" s="13" t="s">
        <v>715</v>
      </c>
      <c r="C25" s="13" t="s">
        <v>40</v>
      </c>
      <c r="D25" s="13" t="s">
        <v>41</v>
      </c>
      <c r="E25" s="13" t="s">
        <v>42</v>
      </c>
      <c r="F25" s="13" t="s">
        <v>712</v>
      </c>
      <c r="G25" s="13" t="s">
        <v>43</v>
      </c>
      <c r="H25" s="13" t="s">
        <v>44</v>
      </c>
    </row>
    <row r="26" spans="2:8" x14ac:dyDescent="0.25">
      <c r="B26" s="14" t="s">
        <v>666</v>
      </c>
      <c r="C26" s="21">
        <v>1</v>
      </c>
      <c r="D26" s="14" t="s">
        <v>100</v>
      </c>
      <c r="E26" s="77">
        <f>+Parámetros!D12</f>
        <v>10245720</v>
      </c>
      <c r="F26" s="118">
        <v>0.3</v>
      </c>
      <c r="G26" s="23">
        <v>11</v>
      </c>
      <c r="H26" s="77">
        <f>+C26*E26*G26*30%</f>
        <v>33810876</v>
      </c>
    </row>
    <row r="27" spans="2:8" x14ac:dyDescent="0.25">
      <c r="B27" s="139" t="s">
        <v>46</v>
      </c>
      <c r="C27" s="25"/>
      <c r="D27" s="14"/>
      <c r="E27" s="13"/>
      <c r="F27" s="13"/>
      <c r="G27" s="13"/>
      <c r="H27" s="26">
        <f>SUM(H26)</f>
        <v>33810876</v>
      </c>
    </row>
    <row r="30" spans="2:8" x14ac:dyDescent="0.25">
      <c r="B30" s="13" t="s">
        <v>716</v>
      </c>
      <c r="C30" s="13" t="s">
        <v>40</v>
      </c>
      <c r="D30" s="13" t="s">
        <v>41</v>
      </c>
      <c r="E30" s="13" t="s">
        <v>42</v>
      </c>
      <c r="F30" s="13" t="s">
        <v>712</v>
      </c>
      <c r="G30" s="13" t="s">
        <v>43</v>
      </c>
      <c r="H30" s="13" t="s">
        <v>44</v>
      </c>
    </row>
    <row r="31" spans="2:8" x14ac:dyDescent="0.25">
      <c r="B31" s="14" t="s">
        <v>666</v>
      </c>
      <c r="C31" s="21">
        <v>1</v>
      </c>
      <c r="D31" s="14" t="s">
        <v>100</v>
      </c>
      <c r="E31" s="77">
        <f>+Parámetros!D12</f>
        <v>10245720</v>
      </c>
      <c r="F31" s="118">
        <v>0.2</v>
      </c>
      <c r="G31" s="23">
        <v>11</v>
      </c>
      <c r="H31" s="77">
        <f>+C31*E31*G31*F31</f>
        <v>22540584</v>
      </c>
    </row>
    <row r="32" spans="2:8" ht="24.75" x14ac:dyDescent="0.25">
      <c r="B32" s="18" t="s">
        <v>200</v>
      </c>
      <c r="C32" s="21"/>
      <c r="D32" s="14"/>
      <c r="E32" s="77"/>
      <c r="F32" s="13"/>
      <c r="G32" s="23"/>
      <c r="H32" s="96" t="str">
        <f>+Parámetros!C4</f>
        <v>Presupuesto relativo</v>
      </c>
    </row>
    <row r="33" spans="2:8" x14ac:dyDescent="0.25">
      <c r="B33" s="139" t="s">
        <v>46</v>
      </c>
      <c r="C33" s="25"/>
      <c r="D33" s="14"/>
      <c r="E33" s="13"/>
      <c r="F33" s="20"/>
      <c r="G33" s="13"/>
      <c r="H33" s="26">
        <f>SUM(H31)</f>
        <v>22540584</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4"/>
  <dimension ref="B2:X36"/>
  <sheetViews>
    <sheetView workbookViewId="0">
      <selection activeCell="D10" sqref="D10"/>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detallado'!B79</f>
        <v>PROGRAMA 4. Recurso hídrico y sistemas de riego</v>
      </c>
    </row>
    <row r="5" spans="2:24" x14ac:dyDescent="0.25">
      <c r="B5" s="15" t="str">
        <f>+'Presupuesto detallado'!B80</f>
        <v>4.1. Optimización del uso del recurso hídrico en las áreas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8" x14ac:dyDescent="0.25">
      <c r="B8" s="18" t="str">
        <f>+'Presupuesto detallado'!B81</f>
        <v>4.1.1. Desarrollo de acciones para la articulación de la cadena de arroz con la aplicación de la metodología de análisis multicriterio, definida en el marco de la política nacional de adecuación de tierras</v>
      </c>
      <c r="C8" s="19" t="s">
        <v>158</v>
      </c>
      <c r="D8" s="20"/>
      <c r="E8" s="20"/>
      <c r="F8" s="20"/>
      <c r="G8" s="20"/>
      <c r="H8" s="20"/>
      <c r="I8" s="20"/>
      <c r="J8" s="20"/>
      <c r="K8" s="20"/>
      <c r="L8" s="20"/>
      <c r="M8" s="20"/>
      <c r="N8" s="20"/>
      <c r="O8" s="20"/>
      <c r="P8" s="20"/>
      <c r="Q8" s="20"/>
      <c r="R8" s="20"/>
      <c r="S8" s="20"/>
      <c r="T8" s="20"/>
      <c r="U8" s="20"/>
      <c r="V8" s="20"/>
    </row>
    <row r="9" spans="2:24" ht="48" x14ac:dyDescent="0.25">
      <c r="B9" s="18" t="str">
        <f>+'Presupuesto detallado'!B82</f>
        <v>4.1.2. Focalización y priorización de áreas actuales y potenciales para el desarrollo de sistemas de riego, con enfoque subregional y acorde con las particularidades de la cadena de arroz</v>
      </c>
      <c r="C9" s="19" t="s">
        <v>157</v>
      </c>
      <c r="D9" s="20"/>
      <c r="E9" s="20"/>
      <c r="F9" s="20"/>
      <c r="G9" s="20"/>
      <c r="H9" s="20"/>
      <c r="I9" s="20"/>
      <c r="J9" s="20"/>
      <c r="K9" s="20"/>
      <c r="L9" s="20"/>
      <c r="M9" s="20"/>
      <c r="N9" s="20"/>
      <c r="O9" s="20"/>
      <c r="P9" s="20"/>
      <c r="Q9" s="20"/>
      <c r="R9" s="20"/>
      <c r="S9" s="20"/>
      <c r="T9" s="20"/>
      <c r="U9" s="20"/>
      <c r="V9" s="20"/>
    </row>
    <row r="10" spans="2:24" ht="72" x14ac:dyDescent="0.25">
      <c r="B10" s="18" t="str">
        <f>+'Presupuesto detallado'!B85</f>
        <v>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v>
      </c>
      <c r="C10" s="19" t="s">
        <v>153</v>
      </c>
      <c r="D10" s="20"/>
      <c r="E10" s="20"/>
      <c r="F10" s="20"/>
      <c r="G10" s="20"/>
      <c r="H10" s="20"/>
      <c r="I10" s="20"/>
      <c r="J10" s="20"/>
      <c r="K10" s="20"/>
      <c r="L10" s="20"/>
      <c r="M10" s="20"/>
      <c r="N10" s="20"/>
      <c r="O10" s="20"/>
      <c r="P10" s="20"/>
      <c r="Q10" s="20"/>
      <c r="R10" s="20"/>
      <c r="S10" s="20"/>
      <c r="T10" s="20"/>
      <c r="U10" s="20"/>
      <c r="V10" s="20"/>
    </row>
    <row r="11" spans="2:24" ht="36" x14ac:dyDescent="0.25">
      <c r="B11" s="18" t="str">
        <f>+'Presupuesto detallado'!B86</f>
        <v>4.1.6. Implementación de técnicas y métodos de manejo orientados al uso racional y sostenible del recurso hídrico, en procesos de producción de arroz</v>
      </c>
      <c r="C11" s="19" t="s">
        <v>159</v>
      </c>
      <c r="D11" s="20"/>
      <c r="E11" s="20"/>
      <c r="F11" s="20"/>
      <c r="G11" s="20"/>
      <c r="H11" s="20"/>
      <c r="I11" s="20"/>
      <c r="J11" s="20"/>
      <c r="K11" s="20"/>
      <c r="L11" s="20"/>
      <c r="M11" s="20"/>
      <c r="N11" s="20"/>
      <c r="O11" s="20"/>
      <c r="P11" s="20"/>
      <c r="Q11" s="20"/>
      <c r="R11" s="20"/>
      <c r="S11" s="20"/>
      <c r="T11" s="20"/>
      <c r="U11" s="20"/>
      <c r="V11" s="20"/>
    </row>
    <row r="12" spans="2:24" ht="60" x14ac:dyDescent="0.25">
      <c r="B12" s="18" t="str">
        <f>+'Presupuesto detallado'!B87</f>
        <v xml:space="preserve">4.1.7. Aumento de la capacidad de almacenamiento del recurso hídrico, al interior del sistema productivo, a través de la implementación de sistemas novedosos y adaptados según las regiones (reservorios, rebombeo y reciclaje), para soluciones individuales o asociadas. </v>
      </c>
      <c r="C12" s="19" t="s">
        <v>142</v>
      </c>
      <c r="D12" s="20"/>
      <c r="E12" s="20"/>
      <c r="F12" s="20"/>
      <c r="G12" s="20"/>
      <c r="H12" s="20"/>
      <c r="I12" s="20"/>
      <c r="J12" s="20"/>
      <c r="K12" s="20"/>
      <c r="L12" s="20"/>
      <c r="M12" s="20"/>
      <c r="N12" s="20"/>
      <c r="O12" s="20"/>
      <c r="P12" s="20"/>
      <c r="Q12" s="20"/>
      <c r="R12" s="20"/>
      <c r="S12" s="20"/>
      <c r="T12" s="20"/>
      <c r="U12" s="20"/>
      <c r="V12" s="20"/>
    </row>
    <row r="13" spans="2:24" ht="48" x14ac:dyDescent="0.25">
      <c r="B13" s="18" t="str">
        <f>+'Presupuesto detallado'!B88</f>
        <v>4.1.8. Fortalecimiento de las organizaciones con influencia en las regiones arroceras, para la gestión colectiva del agua, promoviendo mecanismos para la resolución de conflictos del agua a nivel local</v>
      </c>
      <c r="C13" s="19" t="s">
        <v>160</v>
      </c>
      <c r="D13" s="20"/>
      <c r="E13" s="20"/>
      <c r="F13" s="20"/>
      <c r="G13" s="20"/>
      <c r="H13" s="20"/>
      <c r="I13" s="20"/>
      <c r="J13" s="20"/>
      <c r="K13" s="20"/>
      <c r="L13" s="20"/>
      <c r="M13" s="20"/>
      <c r="N13" s="20"/>
      <c r="O13" s="20"/>
      <c r="P13" s="20"/>
      <c r="Q13" s="20"/>
      <c r="R13" s="20"/>
      <c r="S13" s="20"/>
      <c r="T13" s="20"/>
      <c r="U13" s="20"/>
      <c r="V13" s="20"/>
    </row>
    <row r="14" spans="2:24" ht="48" x14ac:dyDescent="0.25">
      <c r="B14" s="18" t="str">
        <f>+'Presupuesto detallado'!B83</f>
        <v xml:space="preserve">4.1.3. Promoción de sistemas de monitoreo de calidad y cantidad de agua utilizada, en tiempo real, que permita realizar predicciones oportunas y de acuerdo con las características regionales </v>
      </c>
      <c r="C14" s="19" t="s">
        <v>159</v>
      </c>
      <c r="D14" s="20"/>
      <c r="E14" s="20"/>
      <c r="F14" s="20"/>
      <c r="G14" s="20"/>
      <c r="H14" s="20"/>
      <c r="I14" s="20"/>
      <c r="J14" s="20"/>
      <c r="K14" s="20"/>
      <c r="L14" s="20"/>
      <c r="M14" s="20"/>
      <c r="N14" s="20"/>
      <c r="O14" s="20"/>
      <c r="P14" s="20"/>
      <c r="Q14" s="20"/>
      <c r="R14" s="20"/>
      <c r="S14" s="20"/>
      <c r="T14" s="20"/>
      <c r="U14" s="20"/>
      <c r="V14" s="20"/>
    </row>
    <row r="15" spans="2:24" ht="48" x14ac:dyDescent="0.25">
      <c r="B15" s="18" t="str">
        <f>+'Presupuesto detallado'!B84</f>
        <v>4.1.4. Disminución de la incertidumbre en la disponibilidad del recurso hídrico a partir de mejorar la información que permita la planificación oportuna del cultivo de acuerdo con el periodo de siembra</v>
      </c>
      <c r="C15" s="19" t="s">
        <v>159</v>
      </c>
      <c r="D15" s="20"/>
      <c r="E15" s="20"/>
      <c r="F15" s="20"/>
      <c r="G15" s="20"/>
      <c r="H15" s="20"/>
      <c r="I15" s="20"/>
      <c r="J15" s="20"/>
      <c r="K15" s="20"/>
      <c r="L15" s="20"/>
      <c r="M15" s="20"/>
      <c r="N15" s="20"/>
      <c r="O15" s="20"/>
      <c r="P15" s="20"/>
      <c r="Q15" s="20"/>
      <c r="R15" s="20"/>
      <c r="S15" s="20"/>
      <c r="T15" s="20"/>
      <c r="U15" s="20"/>
      <c r="V15" s="20"/>
    </row>
    <row r="16" spans="2:24" ht="24" x14ac:dyDescent="0.25">
      <c r="B16" s="18" t="str">
        <f>+'Presupuesto detallado'!B89</f>
        <v>4.1.9. Promoción y articulación de mecanismos tarifarios para incentivar el uso eficiente del agua</v>
      </c>
      <c r="C16" s="19" t="s">
        <v>161</v>
      </c>
      <c r="D16" s="20"/>
      <c r="E16" s="20"/>
      <c r="F16" s="20"/>
      <c r="G16" s="20"/>
      <c r="H16" s="20"/>
      <c r="I16" s="20"/>
      <c r="J16" s="20"/>
      <c r="K16" s="20"/>
      <c r="L16" s="20"/>
      <c r="M16" s="20"/>
      <c r="N16" s="20"/>
      <c r="O16" s="20"/>
      <c r="P16" s="20"/>
      <c r="Q16" s="20"/>
      <c r="R16" s="20"/>
      <c r="S16" s="20"/>
      <c r="T16" s="20"/>
      <c r="U16" s="20"/>
      <c r="V16" s="20"/>
    </row>
    <row r="17" spans="2:8" ht="24" customHeight="1" x14ac:dyDescent="0.25"/>
    <row r="18" spans="2:8" x14ac:dyDescent="0.25">
      <c r="B18" s="13" t="s">
        <v>52</v>
      </c>
      <c r="C18" s="13" t="s">
        <v>40</v>
      </c>
      <c r="D18" s="13" t="s">
        <v>41</v>
      </c>
      <c r="E18" s="13" t="s">
        <v>42</v>
      </c>
      <c r="F18" s="13" t="s">
        <v>43</v>
      </c>
      <c r="G18" s="13" t="s">
        <v>44</v>
      </c>
      <c r="H18" s="5"/>
    </row>
    <row r="19" spans="2:8" x14ac:dyDescent="0.25">
      <c r="B19" s="14"/>
      <c r="C19" s="21"/>
      <c r="D19" s="14"/>
      <c r="E19" s="22"/>
      <c r="F19" s="23"/>
      <c r="G19" s="22"/>
      <c r="H19" s="5"/>
    </row>
    <row r="20" spans="2:8" x14ac:dyDescent="0.25">
      <c r="B20" s="14"/>
      <c r="C20" s="21"/>
      <c r="D20" s="14"/>
      <c r="E20" s="22"/>
      <c r="F20" s="23"/>
      <c r="G20" s="22"/>
      <c r="H20" s="5"/>
    </row>
    <row r="21" spans="2:8" x14ac:dyDescent="0.25">
      <c r="B21" s="14"/>
      <c r="C21" s="21"/>
      <c r="D21" s="14"/>
      <c r="E21" s="22"/>
      <c r="F21" s="23"/>
      <c r="G21" s="22"/>
      <c r="H21" s="28" t="s">
        <v>53</v>
      </c>
    </row>
    <row r="22" spans="2:8" x14ac:dyDescent="0.25">
      <c r="B22" s="14"/>
      <c r="C22" s="21"/>
      <c r="D22" s="14"/>
      <c r="E22" s="22"/>
      <c r="F22" s="23"/>
      <c r="G22" s="22"/>
      <c r="H22" s="5"/>
    </row>
    <row r="23" spans="2:8" x14ac:dyDescent="0.25">
      <c r="B23" s="24" t="s">
        <v>46</v>
      </c>
      <c r="C23" s="25"/>
      <c r="D23" s="14"/>
      <c r="E23" s="13"/>
      <c r="F23" s="13"/>
      <c r="G23" s="26"/>
      <c r="H23" s="5"/>
    </row>
    <row r="24" spans="2:8" x14ac:dyDescent="0.25">
      <c r="B24" s="5"/>
      <c r="C24" s="5"/>
      <c r="D24" s="5"/>
      <c r="E24" s="5"/>
      <c r="F24" s="5"/>
      <c r="G24" s="5"/>
      <c r="H24" s="5"/>
    </row>
    <row r="25" spans="2:8" x14ac:dyDescent="0.25">
      <c r="B25" s="5"/>
      <c r="C25" s="5"/>
      <c r="D25" s="5"/>
      <c r="E25" s="5"/>
      <c r="F25" s="5"/>
      <c r="G25" s="5"/>
      <c r="H25" s="5"/>
    </row>
    <row r="26" spans="2:8" x14ac:dyDescent="0.25">
      <c r="B26" s="13" t="s">
        <v>54</v>
      </c>
      <c r="C26" s="13" t="s">
        <v>40</v>
      </c>
      <c r="D26" s="13" t="s">
        <v>41</v>
      </c>
      <c r="E26" s="13" t="s">
        <v>42</v>
      </c>
      <c r="F26" s="13" t="s">
        <v>43</v>
      </c>
      <c r="G26" s="13" t="s">
        <v>44</v>
      </c>
      <c r="H26" s="5"/>
    </row>
    <row r="27" spans="2:8" x14ac:dyDescent="0.25">
      <c r="B27" s="14"/>
      <c r="C27" s="21"/>
      <c r="D27" s="14"/>
      <c r="E27" s="22"/>
      <c r="F27" s="23"/>
      <c r="G27" s="22"/>
      <c r="H27" s="28" t="s">
        <v>47</v>
      </c>
    </row>
    <row r="28" spans="2:8" x14ac:dyDescent="0.25">
      <c r="B28" s="14"/>
      <c r="C28" s="21"/>
      <c r="D28" s="14"/>
      <c r="E28" s="22"/>
      <c r="F28" s="23"/>
      <c r="G28" s="22"/>
      <c r="H28" s="5"/>
    </row>
    <row r="29" spans="2:8" x14ac:dyDescent="0.25">
      <c r="B29" s="14"/>
      <c r="C29" s="21"/>
      <c r="D29" s="14"/>
      <c r="E29" s="22"/>
      <c r="F29" s="23"/>
      <c r="G29" s="22"/>
      <c r="H29" s="5"/>
    </row>
    <row r="30" spans="2:8" x14ac:dyDescent="0.25">
      <c r="B30" s="14"/>
      <c r="C30" s="21"/>
      <c r="D30" s="14"/>
      <c r="E30" s="22"/>
      <c r="F30" s="23"/>
      <c r="G30" s="22"/>
      <c r="H30" s="5"/>
    </row>
    <row r="31" spans="2:8" x14ac:dyDescent="0.25">
      <c r="B31" s="292" t="s">
        <v>48</v>
      </c>
      <c r="C31" s="293"/>
      <c r="D31" s="293"/>
      <c r="E31" s="293"/>
      <c r="F31" s="294"/>
      <c r="G31" s="27"/>
      <c r="H31" s="5"/>
    </row>
    <row r="32" spans="2:8" x14ac:dyDescent="0.25">
      <c r="B32" s="14"/>
      <c r="C32" s="21"/>
      <c r="D32" s="14"/>
      <c r="E32" s="22"/>
      <c r="F32" s="23"/>
      <c r="G32" s="22"/>
      <c r="H32" s="28" t="s">
        <v>49</v>
      </c>
    </row>
    <row r="33" spans="2:8" x14ac:dyDescent="0.25">
      <c r="B33" s="14"/>
      <c r="C33" s="21"/>
      <c r="D33" s="14"/>
      <c r="E33" s="22"/>
      <c r="F33" s="23"/>
      <c r="G33" s="22"/>
      <c r="H33" s="5"/>
    </row>
    <row r="34" spans="2:8" x14ac:dyDescent="0.25">
      <c r="B34" s="14"/>
      <c r="C34" s="21"/>
      <c r="D34" s="14"/>
      <c r="E34" s="22"/>
      <c r="F34" s="23"/>
      <c r="G34" s="22"/>
      <c r="H34" s="5"/>
    </row>
    <row r="35" spans="2:8" x14ac:dyDescent="0.25">
      <c r="B35" s="14"/>
      <c r="C35" s="21"/>
      <c r="D35" s="14"/>
      <c r="E35" s="22"/>
      <c r="F35" s="23"/>
      <c r="G35" s="22"/>
      <c r="H35" s="5"/>
    </row>
    <row r="36" spans="2:8" x14ac:dyDescent="0.25">
      <c r="B36" s="292" t="s">
        <v>50</v>
      </c>
      <c r="C36" s="293"/>
      <c r="D36" s="293"/>
      <c r="E36" s="293"/>
      <c r="F36" s="294"/>
      <c r="G36" s="26"/>
      <c r="H36" s="5"/>
    </row>
  </sheetData>
  <mergeCells count="2">
    <mergeCell ref="B31:F31"/>
    <mergeCell ref="B36:F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15"/>
  <dimension ref="B2:X31"/>
  <sheetViews>
    <sheetView workbookViewId="0">
      <selection activeCell="D10" sqref="D10"/>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detallado'!B79</f>
        <v>PROGRAMA 4. Recurso hídrico y sistemas de riego</v>
      </c>
    </row>
    <row r="5" spans="2:24" x14ac:dyDescent="0.25">
      <c r="B5" s="15" t="str">
        <f>+'Presupuesto detallado'!B90</f>
        <v>4.2. Mejoramiento de los distritos de riego que prestan el servicio para 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8" x14ac:dyDescent="0.25">
      <c r="B8" s="18" t="str">
        <f>+'Presupuesto detallado'!B91</f>
        <v xml:space="preserve">4.2.1. Desarrollo de una estrategia de participación de la cadena de arroz en el proceso de evaluación integral de los distritos de adecuación de tierras, que prestan servicio para el cultivo de arroz </v>
      </c>
      <c r="C8" s="19" t="s">
        <v>162</v>
      </c>
      <c r="D8" s="20"/>
      <c r="E8" s="20"/>
      <c r="F8" s="20"/>
      <c r="G8" s="20"/>
      <c r="H8" s="20"/>
      <c r="I8" s="20"/>
      <c r="J8" s="20"/>
      <c r="K8" s="20"/>
      <c r="L8" s="20"/>
      <c r="M8" s="20"/>
      <c r="N8" s="20"/>
      <c r="O8" s="20"/>
      <c r="P8" s="20"/>
      <c r="Q8" s="20"/>
      <c r="R8" s="20"/>
      <c r="S8" s="20"/>
      <c r="T8" s="20"/>
      <c r="U8" s="20"/>
      <c r="V8" s="20"/>
    </row>
    <row r="9" spans="2:24" ht="48" x14ac:dyDescent="0.25">
      <c r="B9" s="18" t="str">
        <f>+'Presupuesto detallado'!B92</f>
        <v>4.2.2. Articulación, socialización y actualización de los mecanismos de evaluación de viabilidad de proyectos relacionados con la implementación de sistemas de riego, en regiones de producción de arroz</v>
      </c>
      <c r="C9" s="19" t="s">
        <v>163</v>
      </c>
      <c r="D9" s="20"/>
      <c r="E9" s="20"/>
      <c r="F9" s="20"/>
      <c r="G9" s="20"/>
      <c r="H9" s="20"/>
      <c r="I9" s="20"/>
      <c r="J9" s="20"/>
      <c r="K9" s="20"/>
      <c r="L9" s="20"/>
      <c r="M9" s="20"/>
      <c r="N9" s="20"/>
      <c r="O9" s="20"/>
      <c r="P9" s="20"/>
      <c r="Q9" s="20"/>
      <c r="R9" s="20"/>
      <c r="S9" s="20"/>
      <c r="T9" s="20"/>
      <c r="U9" s="20"/>
      <c r="V9" s="20"/>
    </row>
    <row r="10" spans="2:24" ht="48" x14ac:dyDescent="0.25">
      <c r="B10" s="18" t="str">
        <f>+'Presupuesto detallado'!B93</f>
        <v>4.2.3. Desarrollo de un trabajo conjunto de la cadena de arroz, que promueva el fortalecimiento de la administración, operación y conservación de los distritos, que prestan servicio para el cultivo</v>
      </c>
      <c r="C10" s="19" t="s">
        <v>163</v>
      </c>
      <c r="D10" s="20"/>
      <c r="E10" s="20"/>
      <c r="F10" s="20"/>
      <c r="G10" s="20"/>
      <c r="H10" s="20"/>
      <c r="I10" s="20"/>
      <c r="J10" s="20"/>
      <c r="K10" s="20"/>
      <c r="L10" s="20"/>
      <c r="M10" s="20"/>
      <c r="N10" s="20"/>
      <c r="O10" s="20"/>
      <c r="P10" s="20"/>
      <c r="Q10" s="20"/>
      <c r="R10" s="20"/>
      <c r="S10" s="20"/>
      <c r="T10" s="20"/>
      <c r="U10" s="20"/>
      <c r="V10" s="20"/>
    </row>
    <row r="11" spans="2:24" ht="72" x14ac:dyDescent="0.25">
      <c r="B11" s="18" t="str">
        <f>+'Presupuesto detallado'!B94</f>
        <v>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v>
      </c>
      <c r="C11" s="19" t="s">
        <v>163</v>
      </c>
      <c r="D11" s="20"/>
      <c r="E11" s="20"/>
      <c r="F11" s="20"/>
      <c r="G11" s="20"/>
      <c r="H11" s="20"/>
      <c r="I11" s="20"/>
      <c r="J11" s="20"/>
      <c r="K11" s="20"/>
      <c r="L11" s="20"/>
      <c r="M11" s="20"/>
      <c r="N11" s="20"/>
      <c r="O11" s="20"/>
      <c r="P11" s="20"/>
      <c r="Q11" s="20"/>
      <c r="R11" s="20"/>
      <c r="S11" s="20"/>
      <c r="T11" s="20"/>
      <c r="U11" s="20"/>
      <c r="V11" s="20"/>
    </row>
    <row r="12" spans="2:24" ht="24" customHeight="1" x14ac:dyDescent="0.25"/>
    <row r="13" spans="2:24" x14ac:dyDescent="0.25">
      <c r="B13" s="13" t="s">
        <v>52</v>
      </c>
      <c r="C13" s="13" t="s">
        <v>40</v>
      </c>
      <c r="D13" s="13" t="s">
        <v>41</v>
      </c>
      <c r="E13" s="13" t="s">
        <v>42</v>
      </c>
      <c r="F13" s="13" t="s">
        <v>43</v>
      </c>
      <c r="G13" s="13" t="s">
        <v>44</v>
      </c>
      <c r="H13" s="5"/>
    </row>
    <row r="14" spans="2:24" x14ac:dyDescent="0.25">
      <c r="B14" s="14"/>
      <c r="C14" s="21"/>
      <c r="D14" s="14"/>
      <c r="E14" s="22"/>
      <c r="F14" s="23"/>
      <c r="G14" s="22"/>
      <c r="H14" s="5"/>
    </row>
    <row r="15" spans="2:24" x14ac:dyDescent="0.25">
      <c r="B15" s="14"/>
      <c r="C15" s="21"/>
      <c r="D15" s="14"/>
      <c r="E15" s="22"/>
      <c r="F15" s="23"/>
      <c r="G15" s="22"/>
      <c r="H15" s="5"/>
    </row>
    <row r="16" spans="2:24" x14ac:dyDescent="0.25">
      <c r="B16" s="14"/>
      <c r="C16" s="21"/>
      <c r="D16" s="14"/>
      <c r="E16" s="22"/>
      <c r="F16" s="23"/>
      <c r="G16" s="22"/>
      <c r="H16" s="28" t="s">
        <v>53</v>
      </c>
    </row>
    <row r="17" spans="2:8" x14ac:dyDescent="0.25">
      <c r="B17" s="14"/>
      <c r="C17" s="21"/>
      <c r="D17" s="14"/>
      <c r="E17" s="22"/>
      <c r="F17" s="23"/>
      <c r="G17" s="22"/>
      <c r="H17" s="5"/>
    </row>
    <row r="18" spans="2:8" x14ac:dyDescent="0.25">
      <c r="B18" s="24" t="s">
        <v>46</v>
      </c>
      <c r="C18" s="25"/>
      <c r="D18" s="14"/>
      <c r="E18" s="13"/>
      <c r="F18" s="13"/>
      <c r="G18" s="26"/>
      <c r="H18" s="5"/>
    </row>
    <row r="19" spans="2:8" x14ac:dyDescent="0.25">
      <c r="B19" s="5"/>
      <c r="C19" s="5"/>
      <c r="D19" s="5"/>
      <c r="E19" s="5"/>
      <c r="F19" s="5"/>
      <c r="G19" s="5"/>
      <c r="H19" s="5"/>
    </row>
    <row r="20" spans="2:8" x14ac:dyDescent="0.25">
      <c r="B20" s="5"/>
      <c r="C20" s="5"/>
      <c r="D20" s="5"/>
      <c r="E20" s="5"/>
      <c r="F20" s="5"/>
      <c r="G20" s="5"/>
      <c r="H20" s="5"/>
    </row>
    <row r="21" spans="2:8" x14ac:dyDescent="0.25">
      <c r="B21" s="13" t="s">
        <v>54</v>
      </c>
      <c r="C21" s="13" t="s">
        <v>40</v>
      </c>
      <c r="D21" s="13" t="s">
        <v>41</v>
      </c>
      <c r="E21" s="13" t="s">
        <v>42</v>
      </c>
      <c r="F21" s="13" t="s">
        <v>43</v>
      </c>
      <c r="G21" s="13" t="s">
        <v>44</v>
      </c>
      <c r="H21" s="5"/>
    </row>
    <row r="22" spans="2:8" x14ac:dyDescent="0.25">
      <c r="B22" s="14"/>
      <c r="C22" s="21"/>
      <c r="D22" s="14"/>
      <c r="E22" s="22"/>
      <c r="F22" s="23"/>
      <c r="G22" s="22"/>
      <c r="H22" s="28" t="s">
        <v>47</v>
      </c>
    </row>
    <row r="23" spans="2:8" x14ac:dyDescent="0.25">
      <c r="B23" s="14"/>
      <c r="C23" s="21"/>
      <c r="D23" s="14"/>
      <c r="E23" s="22"/>
      <c r="F23" s="23"/>
      <c r="G23" s="22"/>
      <c r="H23" s="5"/>
    </row>
    <row r="24" spans="2:8" x14ac:dyDescent="0.25">
      <c r="B24" s="14"/>
      <c r="C24" s="21"/>
      <c r="D24" s="14"/>
      <c r="E24" s="22"/>
      <c r="F24" s="23"/>
      <c r="G24" s="22"/>
      <c r="H24" s="5"/>
    </row>
    <row r="25" spans="2:8" x14ac:dyDescent="0.25">
      <c r="B25" s="14"/>
      <c r="C25" s="21"/>
      <c r="D25" s="14"/>
      <c r="E25" s="22"/>
      <c r="F25" s="23"/>
      <c r="G25" s="22"/>
      <c r="H25" s="5"/>
    </row>
    <row r="26" spans="2:8" x14ac:dyDescent="0.25">
      <c r="B26" s="292" t="s">
        <v>48</v>
      </c>
      <c r="C26" s="293"/>
      <c r="D26" s="293"/>
      <c r="E26" s="293"/>
      <c r="F26" s="294"/>
      <c r="G26" s="27"/>
      <c r="H26" s="5"/>
    </row>
    <row r="27" spans="2:8" x14ac:dyDescent="0.25">
      <c r="B27" s="14"/>
      <c r="C27" s="21"/>
      <c r="D27" s="14"/>
      <c r="E27" s="22"/>
      <c r="F27" s="23"/>
      <c r="G27" s="22"/>
      <c r="H27" s="28" t="s">
        <v>49</v>
      </c>
    </row>
    <row r="28" spans="2:8" x14ac:dyDescent="0.25">
      <c r="B28" s="14"/>
      <c r="C28" s="21"/>
      <c r="D28" s="14"/>
      <c r="E28" s="22"/>
      <c r="F28" s="23"/>
      <c r="G28" s="22"/>
      <c r="H28" s="5"/>
    </row>
    <row r="29" spans="2:8" x14ac:dyDescent="0.25">
      <c r="B29" s="14"/>
      <c r="C29" s="21"/>
      <c r="D29" s="14"/>
      <c r="E29" s="22"/>
      <c r="F29" s="23"/>
      <c r="G29" s="22"/>
      <c r="H29" s="5"/>
    </row>
    <row r="30" spans="2:8" x14ac:dyDescent="0.25">
      <c r="B30" s="14"/>
      <c r="C30" s="21"/>
      <c r="D30" s="14"/>
      <c r="E30" s="22"/>
      <c r="F30" s="23"/>
      <c r="G30" s="22"/>
      <c r="H30" s="5"/>
    </row>
    <row r="31" spans="2:8" x14ac:dyDescent="0.25">
      <c r="B31" s="292" t="s">
        <v>50</v>
      </c>
      <c r="C31" s="293"/>
      <c r="D31" s="293"/>
      <c r="E31" s="293"/>
      <c r="F31" s="294"/>
      <c r="G31" s="26"/>
      <c r="H31" s="5"/>
    </row>
  </sheetData>
  <mergeCells count="2">
    <mergeCell ref="B26:F26"/>
    <mergeCell ref="B31:F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16"/>
  <dimension ref="B2:X30"/>
  <sheetViews>
    <sheetView workbookViewId="0">
      <selection activeCell="B25" sqref="B25:F25"/>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detallado'!B95</f>
        <v>PROGRAMA 5. Financiamiento</v>
      </c>
    </row>
    <row r="5" spans="2:24" x14ac:dyDescent="0.25">
      <c r="B5" s="15" t="str">
        <f>+'Presupuesto detallado'!B96</f>
        <v>5.1. Mejora del acceso de la cadena arrocera, al financiamiento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detallado'!B97</f>
        <v>5.1.1. Fortalecimiento de una estrategia para mejorar el acceso al financiamiento bancario y otras fuentes de financiamiento para el sector arrocero</v>
      </c>
      <c r="C8" s="19" t="s">
        <v>164</v>
      </c>
      <c r="D8" s="20"/>
      <c r="E8" s="20"/>
      <c r="F8" s="20"/>
      <c r="G8" s="20"/>
      <c r="H8" s="20"/>
      <c r="I8" s="20"/>
      <c r="J8" s="20"/>
      <c r="K8" s="20"/>
      <c r="L8" s="20"/>
      <c r="M8" s="20"/>
      <c r="N8" s="20"/>
      <c r="O8" s="20"/>
      <c r="P8" s="20"/>
      <c r="Q8" s="20"/>
      <c r="R8" s="20"/>
      <c r="S8" s="20"/>
      <c r="T8" s="20"/>
      <c r="U8" s="20"/>
      <c r="V8" s="20"/>
    </row>
    <row r="9" spans="2:24" ht="36" x14ac:dyDescent="0.25">
      <c r="B9" s="18" t="str">
        <f>+'Presupuesto detallado'!B98</f>
        <v xml:space="preserve">5.1.2. Ampliación de la oferta de productos y servicios financieros especializados y enfocados a la cadena de arroz </v>
      </c>
      <c r="C9" s="19" t="s">
        <v>165</v>
      </c>
      <c r="D9" s="20"/>
      <c r="E9" s="20"/>
      <c r="F9" s="20"/>
      <c r="G9" s="20"/>
      <c r="H9" s="20"/>
      <c r="I9" s="20"/>
      <c r="J9" s="20"/>
      <c r="K9" s="20"/>
      <c r="L9" s="20"/>
      <c r="M9" s="20"/>
      <c r="N9" s="20"/>
      <c r="O9" s="20"/>
      <c r="P9" s="20"/>
      <c r="Q9" s="20"/>
      <c r="R9" s="20"/>
      <c r="S9" s="20"/>
      <c r="T9" s="20"/>
      <c r="U9" s="20"/>
      <c r="V9" s="20"/>
    </row>
    <row r="10" spans="2:24" ht="48" x14ac:dyDescent="0.25">
      <c r="B10" s="18" t="str">
        <f>+'Presupuesto detallado'!B99</f>
        <v xml:space="preserve">5.1.3. Desarrollo de alternativas y mecanismos que se enfoquen en las  necesidades específicas de la cadena de arroz, tales como fortalecimiento de las garantías y manejo de la siniestralidad. </v>
      </c>
      <c r="C10" s="19" t="s">
        <v>97</v>
      </c>
      <c r="D10" s="20"/>
      <c r="E10" s="20"/>
      <c r="F10" s="20"/>
      <c r="G10" s="20"/>
      <c r="H10" s="20"/>
      <c r="I10" s="20"/>
      <c r="J10" s="20"/>
      <c r="K10" s="20"/>
      <c r="L10" s="20"/>
      <c r="M10" s="20"/>
      <c r="N10" s="20"/>
      <c r="O10" s="20"/>
      <c r="P10" s="20"/>
      <c r="Q10" s="20"/>
      <c r="R10" s="20"/>
      <c r="S10" s="20"/>
      <c r="T10" s="20"/>
      <c r="U10" s="20"/>
      <c r="V10" s="20"/>
    </row>
    <row r="11" spans="2:24" ht="24" customHeight="1" x14ac:dyDescent="0.25"/>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17"/>
  <dimension ref="B2:X29"/>
  <sheetViews>
    <sheetView workbookViewId="0">
      <selection activeCell="B25" sqref="B25:F25"/>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detallado'!B95</f>
        <v>PROGRAMA 5. Financiamiento</v>
      </c>
    </row>
    <row r="5" spans="2:24" x14ac:dyDescent="0.25">
      <c r="B5" s="15" t="str">
        <f>+'Presupuesto detallado'!B100</f>
        <v>5.2. Promoción de los instrumentos financieros de mitigación de riesgos,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detallado'!B101</f>
        <v>5.2.1. Manejo de los riesgos con enfoque integral (mecanismos de transferencia de riesgos) en el marco de la estrategia 360 grados</v>
      </c>
      <c r="C8" s="19" t="s">
        <v>150</v>
      </c>
      <c r="D8" s="20"/>
      <c r="E8" s="20"/>
      <c r="F8" s="20"/>
      <c r="G8" s="20"/>
      <c r="H8" s="20"/>
      <c r="I8" s="20"/>
      <c r="J8" s="20"/>
      <c r="K8" s="20"/>
      <c r="L8" s="20"/>
      <c r="M8" s="20"/>
      <c r="N8" s="20"/>
      <c r="O8" s="20"/>
      <c r="P8" s="20"/>
      <c r="Q8" s="20"/>
      <c r="R8" s="20"/>
      <c r="S8" s="20"/>
      <c r="T8" s="20"/>
      <c r="U8" s="20"/>
      <c r="V8" s="20"/>
    </row>
    <row r="9" spans="2:24" ht="24" x14ac:dyDescent="0.25">
      <c r="B9" s="18" t="str">
        <f>+'Presupuesto detallado'!B102</f>
        <v xml:space="preserve">5.2.2. Promoción de la educación financiera para la toma de decisiones  </v>
      </c>
      <c r="C9" s="19" t="s">
        <v>150</v>
      </c>
      <c r="D9" s="20"/>
      <c r="E9" s="20"/>
      <c r="F9" s="20"/>
      <c r="G9" s="20"/>
      <c r="H9" s="20"/>
      <c r="I9" s="20"/>
      <c r="J9" s="20"/>
      <c r="K9" s="20"/>
      <c r="L9" s="20"/>
      <c r="M9" s="20"/>
      <c r="N9" s="20"/>
      <c r="O9" s="20"/>
      <c r="P9" s="20"/>
      <c r="Q9" s="20"/>
      <c r="R9" s="20"/>
      <c r="S9" s="20"/>
      <c r="T9" s="20"/>
      <c r="U9" s="20"/>
      <c r="V9" s="20"/>
    </row>
    <row r="10" spans="2:24" ht="24" customHeight="1" x14ac:dyDescent="0.25"/>
    <row r="11" spans="2:24" x14ac:dyDescent="0.25">
      <c r="B11" s="13" t="s">
        <v>52</v>
      </c>
      <c r="C11" s="13" t="s">
        <v>40</v>
      </c>
      <c r="D11" s="13" t="s">
        <v>41</v>
      </c>
      <c r="E11" s="13" t="s">
        <v>42</v>
      </c>
      <c r="F11" s="13" t="s">
        <v>43</v>
      </c>
      <c r="G11" s="13" t="s">
        <v>44</v>
      </c>
      <c r="H11" s="5"/>
    </row>
    <row r="12" spans="2:24" x14ac:dyDescent="0.25">
      <c r="B12" s="14"/>
      <c r="C12" s="21"/>
      <c r="D12" s="14"/>
      <c r="E12" s="22"/>
      <c r="F12" s="23"/>
      <c r="G12" s="22"/>
      <c r="H12" s="5"/>
    </row>
    <row r="13" spans="2:24" x14ac:dyDescent="0.25">
      <c r="B13" s="14"/>
      <c r="C13" s="21"/>
      <c r="D13" s="14"/>
      <c r="E13" s="22"/>
      <c r="F13" s="23"/>
      <c r="G13" s="22"/>
      <c r="H13" s="5"/>
    </row>
    <row r="14" spans="2:24" x14ac:dyDescent="0.25">
      <c r="B14" s="14"/>
      <c r="C14" s="21"/>
      <c r="D14" s="14"/>
      <c r="E14" s="22"/>
      <c r="F14" s="23"/>
      <c r="G14" s="22"/>
      <c r="H14" s="28" t="s">
        <v>53</v>
      </c>
    </row>
    <row r="15" spans="2:24" x14ac:dyDescent="0.25">
      <c r="B15" s="14"/>
      <c r="C15" s="21"/>
      <c r="D15" s="14"/>
      <c r="E15" s="22"/>
      <c r="F15" s="23"/>
      <c r="G15" s="22"/>
      <c r="H15" s="5"/>
    </row>
    <row r="16" spans="2:24" x14ac:dyDescent="0.25">
      <c r="B16" s="24" t="s">
        <v>46</v>
      </c>
      <c r="C16" s="25"/>
      <c r="D16" s="14"/>
      <c r="E16" s="13"/>
      <c r="F16" s="13"/>
      <c r="G16" s="26"/>
      <c r="H16" s="5"/>
    </row>
    <row r="17" spans="2:8" x14ac:dyDescent="0.25">
      <c r="B17" s="5"/>
      <c r="C17" s="5"/>
      <c r="D17" s="5"/>
      <c r="E17" s="5"/>
      <c r="F17" s="5"/>
      <c r="G17" s="5"/>
      <c r="H17" s="5"/>
    </row>
    <row r="18" spans="2:8" x14ac:dyDescent="0.25">
      <c r="B18" s="5"/>
      <c r="C18" s="5"/>
      <c r="D18" s="5"/>
      <c r="E18" s="5"/>
      <c r="F18" s="5"/>
      <c r="G18" s="5"/>
      <c r="H18" s="5"/>
    </row>
    <row r="19" spans="2:8" x14ac:dyDescent="0.25">
      <c r="B19" s="13" t="s">
        <v>54</v>
      </c>
      <c r="C19" s="13" t="s">
        <v>40</v>
      </c>
      <c r="D19" s="13" t="s">
        <v>41</v>
      </c>
      <c r="E19" s="13" t="s">
        <v>42</v>
      </c>
      <c r="F19" s="13" t="s">
        <v>43</v>
      </c>
      <c r="G19" s="13" t="s">
        <v>44</v>
      </c>
      <c r="H19" s="5"/>
    </row>
    <row r="20" spans="2:8" x14ac:dyDescent="0.25">
      <c r="B20" s="14"/>
      <c r="C20" s="21"/>
      <c r="D20" s="14"/>
      <c r="E20" s="22"/>
      <c r="F20" s="23"/>
      <c r="G20" s="22"/>
      <c r="H20" s="28" t="s">
        <v>47</v>
      </c>
    </row>
    <row r="21" spans="2:8" x14ac:dyDescent="0.25">
      <c r="B21" s="14"/>
      <c r="C21" s="21"/>
      <c r="D21" s="14"/>
      <c r="E21" s="22"/>
      <c r="F21" s="23"/>
      <c r="G21" s="22"/>
      <c r="H21" s="5"/>
    </row>
    <row r="22" spans="2:8" x14ac:dyDescent="0.25">
      <c r="B22" s="14"/>
      <c r="C22" s="21"/>
      <c r="D22" s="14"/>
      <c r="E22" s="22"/>
      <c r="F22" s="23"/>
      <c r="G22" s="22"/>
      <c r="H22" s="5"/>
    </row>
    <row r="23" spans="2:8" x14ac:dyDescent="0.25">
      <c r="B23" s="14"/>
      <c r="C23" s="21"/>
      <c r="D23" s="14"/>
      <c r="E23" s="22"/>
      <c r="F23" s="23"/>
      <c r="G23" s="22"/>
      <c r="H23" s="5"/>
    </row>
    <row r="24" spans="2:8" x14ac:dyDescent="0.25">
      <c r="B24" s="292" t="s">
        <v>48</v>
      </c>
      <c r="C24" s="293"/>
      <c r="D24" s="293"/>
      <c r="E24" s="293"/>
      <c r="F24" s="294"/>
      <c r="G24" s="27"/>
      <c r="H24" s="5"/>
    </row>
    <row r="25" spans="2:8" x14ac:dyDescent="0.25">
      <c r="B25" s="14"/>
      <c r="C25" s="21"/>
      <c r="D25" s="14"/>
      <c r="E25" s="22"/>
      <c r="F25" s="23"/>
      <c r="G25" s="22"/>
      <c r="H25" s="28" t="s">
        <v>49</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50</v>
      </c>
      <c r="C29" s="293"/>
      <c r="D29" s="293"/>
      <c r="E29" s="293"/>
      <c r="F29" s="294"/>
      <c r="G29" s="26"/>
      <c r="H29" s="5"/>
    </row>
  </sheetData>
  <mergeCells count="2">
    <mergeCell ref="B24:F24"/>
    <mergeCell ref="B29:F2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X96"/>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28515625" style="1" bestFit="1" customWidth="1"/>
    <col min="5" max="5" width="13.7109375" style="1" bestFit="1" customWidth="1"/>
    <col min="6" max="6" width="13" style="1" bestFit="1" customWidth="1"/>
    <col min="7" max="7" width="15.7109375" style="1" bestFit="1" customWidth="1"/>
    <col min="8" max="8" width="21.28515625" style="1" customWidth="1"/>
    <col min="9" max="9" width="15.7109375" style="1" bestFit="1" customWidth="1"/>
    <col min="10" max="10" width="16" style="1" customWidth="1"/>
    <col min="11" max="12" width="15.7109375" style="1" bestFit="1" customWidth="1"/>
    <col min="13" max="14" width="13.7109375" style="1" bestFit="1" customWidth="1"/>
    <col min="15" max="15" width="13.42578125" style="1" customWidth="1"/>
    <col min="16" max="22" width="13.7109375" style="1" bestFit="1" customWidth="1"/>
    <col min="23" max="23" width="18.285156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detallado'!B79</f>
        <v>PROGRAMA 4. Recurso hídrico y sistemas de riego</v>
      </c>
    </row>
    <row r="5" spans="2:24" x14ac:dyDescent="0.25">
      <c r="B5" s="15" t="str">
        <f>+'Presupuesto detallado'!B80</f>
        <v>4.1. Optimización del uso del recurso hídrico en las áreas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8" x14ac:dyDescent="0.25">
      <c r="B8" s="18" t="str">
        <f>+'Presupuesto detallado'!B81</f>
        <v>4.1.1. Desarrollo de acciones para la articulación de la cadena de arroz con la aplicación de la metodología de análisis multicriterio, definida en el marco de la política nacional de adecuación de tierras</v>
      </c>
      <c r="C8" s="19" t="s">
        <v>158</v>
      </c>
      <c r="D8" s="56"/>
      <c r="E8" s="56"/>
      <c r="F8" s="133">
        <f>+H28</f>
        <v>98226395.25</v>
      </c>
      <c r="G8" s="133">
        <f>F8</f>
        <v>98226395.25</v>
      </c>
      <c r="H8" s="140" t="str">
        <f>+H27</f>
        <v>Presupuesto relativo</v>
      </c>
      <c r="I8" s="56"/>
      <c r="J8" s="56"/>
      <c r="K8" s="140" t="str">
        <f>+H27</f>
        <v>Presupuesto relativo</v>
      </c>
      <c r="L8" s="56"/>
      <c r="M8" s="56"/>
      <c r="N8" s="140" t="str">
        <f>+H27</f>
        <v>Presupuesto relativo</v>
      </c>
      <c r="O8" s="133"/>
      <c r="P8" s="56"/>
      <c r="Q8" s="140" t="str">
        <f>+H27</f>
        <v>Presupuesto relativo</v>
      </c>
      <c r="R8" s="56"/>
      <c r="S8" s="133"/>
      <c r="T8" s="140" t="str">
        <f>+H27</f>
        <v>Presupuesto relativo</v>
      </c>
      <c r="U8" s="56"/>
      <c r="V8" s="56"/>
      <c r="W8" s="133">
        <f t="shared" ref="W8:W16" si="0">SUM(D8:V8)</f>
        <v>196452790.5</v>
      </c>
    </row>
    <row r="9" spans="2:24" ht="48" x14ac:dyDescent="0.25">
      <c r="B9" s="18" t="str">
        <f>+'Presupuesto detallado'!B82</f>
        <v>4.1.2. Focalización y priorización de áreas actuales y potenciales para el desarrollo de sistemas de riego, con enfoque subregional y acorde con las particularidades de la cadena de arroz</v>
      </c>
      <c r="C9" s="19" t="s">
        <v>157</v>
      </c>
      <c r="D9" s="56"/>
      <c r="E9" s="56"/>
      <c r="F9" s="56"/>
      <c r="G9" s="133">
        <f>H38</f>
        <v>141159351.59999999</v>
      </c>
      <c r="H9" s="133">
        <f>H38</f>
        <v>141159351.59999999</v>
      </c>
      <c r="I9" s="56"/>
      <c r="J9" s="56"/>
      <c r="K9" s="56"/>
      <c r="L9" s="56"/>
      <c r="M9" s="133">
        <f>H38</f>
        <v>141159351.59999999</v>
      </c>
      <c r="N9" s="56"/>
      <c r="O9" s="56"/>
      <c r="P9" s="56"/>
      <c r="Q9" s="56"/>
      <c r="R9" s="133">
        <f>H38</f>
        <v>141159351.59999999</v>
      </c>
      <c r="S9" s="56"/>
      <c r="T9" s="56"/>
      <c r="U9" s="56"/>
      <c r="V9" s="56"/>
      <c r="W9" s="133">
        <f t="shared" si="0"/>
        <v>564637406.39999998</v>
      </c>
    </row>
    <row r="10" spans="2:24" ht="48" x14ac:dyDescent="0.25">
      <c r="B10" s="18" t="str">
        <f>+'Presupuesto detallado'!B83</f>
        <v xml:space="preserve">4.1.3. Promoción de sistemas de monitoreo de calidad y cantidad de agua utilizada, en tiempo real, que permita realizar predicciones oportunas y de acuerdo con las características regionales </v>
      </c>
      <c r="C10" s="19" t="s">
        <v>150</v>
      </c>
      <c r="D10" s="56"/>
      <c r="E10" s="56"/>
      <c r="F10" s="133"/>
      <c r="G10" s="140">
        <f>+H45</f>
        <v>61137463.199999996</v>
      </c>
      <c r="H10" s="140">
        <f>+H45</f>
        <v>61137463.199999996</v>
      </c>
      <c r="I10" s="18" t="s">
        <v>218</v>
      </c>
      <c r="J10" s="18" t="s">
        <v>218</v>
      </c>
      <c r="K10" s="18" t="s">
        <v>218</v>
      </c>
      <c r="L10" s="18" t="s">
        <v>218</v>
      </c>
      <c r="M10" s="18" t="s">
        <v>218</v>
      </c>
      <c r="N10" s="18" t="s">
        <v>218</v>
      </c>
      <c r="O10" s="18" t="s">
        <v>218</v>
      </c>
      <c r="P10" s="18" t="s">
        <v>218</v>
      </c>
      <c r="Q10" s="18" t="s">
        <v>218</v>
      </c>
      <c r="R10" s="18" t="s">
        <v>218</v>
      </c>
      <c r="S10" s="18" t="s">
        <v>218</v>
      </c>
      <c r="T10" s="18" t="s">
        <v>218</v>
      </c>
      <c r="U10" s="18" t="s">
        <v>218</v>
      </c>
      <c r="V10" s="18" t="s">
        <v>218</v>
      </c>
      <c r="W10" s="133">
        <f t="shared" si="0"/>
        <v>122274926.39999999</v>
      </c>
    </row>
    <row r="11" spans="2:24" ht="48" x14ac:dyDescent="0.25">
      <c r="B11" s="18" t="str">
        <f>+'Presupuesto detallado'!B84</f>
        <v>4.1.4. Disminución de la incertidumbre en la disponibilidad del recurso hídrico a partir de mejorar la información que permita la planificación oportuna del cultivo de acuerdo con el periodo de siembra</v>
      </c>
      <c r="C11" s="19" t="s">
        <v>150</v>
      </c>
      <c r="D11" s="56"/>
      <c r="E11" s="56"/>
      <c r="F11" s="133"/>
      <c r="G11" s="140">
        <f>+H52</f>
        <v>50947886</v>
      </c>
      <c r="H11" s="140">
        <f>+H52</f>
        <v>50947886</v>
      </c>
      <c r="I11" s="18" t="s">
        <v>218</v>
      </c>
      <c r="J11" s="18" t="s">
        <v>218</v>
      </c>
      <c r="K11" s="18" t="s">
        <v>218</v>
      </c>
      <c r="L11" s="18" t="s">
        <v>218</v>
      </c>
      <c r="M11" s="18" t="s">
        <v>218</v>
      </c>
      <c r="N11" s="18" t="s">
        <v>218</v>
      </c>
      <c r="O11" s="18" t="s">
        <v>218</v>
      </c>
      <c r="P11" s="18" t="s">
        <v>218</v>
      </c>
      <c r="Q11" s="18" t="s">
        <v>218</v>
      </c>
      <c r="R11" s="18" t="s">
        <v>218</v>
      </c>
      <c r="S11" s="18" t="s">
        <v>218</v>
      </c>
      <c r="T11" s="18" t="s">
        <v>218</v>
      </c>
      <c r="U11" s="18" t="s">
        <v>218</v>
      </c>
      <c r="V11" s="18" t="s">
        <v>218</v>
      </c>
      <c r="W11" s="133">
        <f t="shared" si="0"/>
        <v>101895772</v>
      </c>
    </row>
    <row r="12" spans="2:24" ht="72" x14ac:dyDescent="0.25">
      <c r="B12" s="18" t="str">
        <f>+'Presupuesto detallado'!B85</f>
        <v>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v>
      </c>
      <c r="C12" s="19" t="s">
        <v>153</v>
      </c>
      <c r="D12" s="56"/>
      <c r="E12" s="56"/>
      <c r="F12" s="56"/>
      <c r="G12" s="140">
        <f>H58</f>
        <v>61137463.199999996</v>
      </c>
      <c r="H12" s="140">
        <f>G12</f>
        <v>61137463.199999996</v>
      </c>
      <c r="I12" s="140" t="str">
        <f>+H57</f>
        <v>Presupuesto Relativo</v>
      </c>
      <c r="J12" s="56"/>
      <c r="K12" s="56"/>
      <c r="L12" s="140" t="str">
        <f>+H57</f>
        <v>Presupuesto Relativo</v>
      </c>
      <c r="M12" s="56"/>
      <c r="N12" s="56"/>
      <c r="O12" s="56"/>
      <c r="P12" s="140" t="str">
        <f>+H57</f>
        <v>Presupuesto Relativo</v>
      </c>
      <c r="Q12" s="56"/>
      <c r="R12" s="56"/>
      <c r="S12" s="56"/>
      <c r="T12" s="140" t="str">
        <f>+H57</f>
        <v>Presupuesto Relativo</v>
      </c>
      <c r="U12" s="56"/>
      <c r="V12" s="56"/>
      <c r="W12" s="133">
        <f t="shared" si="0"/>
        <v>122274926.39999999</v>
      </c>
    </row>
    <row r="13" spans="2:24" ht="36" x14ac:dyDescent="0.25">
      <c r="B13" s="18" t="str">
        <f>+'Presupuesto detallado'!B86</f>
        <v>4.1.6. Implementación de técnicas y métodos de manejo orientados al uso racional y sostenible del recurso hídrico, en procesos de producción de arroz</v>
      </c>
      <c r="C13" s="19" t="s">
        <v>159</v>
      </c>
      <c r="D13" s="56"/>
      <c r="E13" s="56"/>
      <c r="F13" s="140">
        <f>H64</f>
        <v>101895772</v>
      </c>
      <c r="G13" s="140">
        <f>H64</f>
        <v>101895772</v>
      </c>
      <c r="H13" s="140">
        <f>H64</f>
        <v>101895772</v>
      </c>
      <c r="I13" s="140" t="str">
        <f t="shared" ref="I13:V13" si="1">+$H$63</f>
        <v>Presupuesto relativo</v>
      </c>
      <c r="J13" s="140" t="str">
        <f t="shared" si="1"/>
        <v>Presupuesto relativo</v>
      </c>
      <c r="K13" s="140" t="str">
        <f t="shared" si="1"/>
        <v>Presupuesto relativo</v>
      </c>
      <c r="L13" s="140" t="str">
        <f t="shared" si="1"/>
        <v>Presupuesto relativo</v>
      </c>
      <c r="M13" s="140" t="str">
        <f t="shared" si="1"/>
        <v>Presupuesto relativo</v>
      </c>
      <c r="N13" s="140" t="str">
        <f t="shared" si="1"/>
        <v>Presupuesto relativo</v>
      </c>
      <c r="O13" s="140" t="str">
        <f t="shared" si="1"/>
        <v>Presupuesto relativo</v>
      </c>
      <c r="P13" s="140" t="str">
        <f t="shared" si="1"/>
        <v>Presupuesto relativo</v>
      </c>
      <c r="Q13" s="140" t="str">
        <f t="shared" si="1"/>
        <v>Presupuesto relativo</v>
      </c>
      <c r="R13" s="140" t="str">
        <f t="shared" si="1"/>
        <v>Presupuesto relativo</v>
      </c>
      <c r="S13" s="140" t="str">
        <f t="shared" si="1"/>
        <v>Presupuesto relativo</v>
      </c>
      <c r="T13" s="140" t="str">
        <f t="shared" si="1"/>
        <v>Presupuesto relativo</v>
      </c>
      <c r="U13" s="140" t="str">
        <f t="shared" si="1"/>
        <v>Presupuesto relativo</v>
      </c>
      <c r="V13" s="140" t="str">
        <f t="shared" si="1"/>
        <v>Presupuesto relativo</v>
      </c>
      <c r="W13" s="133">
        <f t="shared" si="0"/>
        <v>305687316</v>
      </c>
    </row>
    <row r="14" spans="2:24" ht="60" x14ac:dyDescent="0.25">
      <c r="B14" s="18" t="str">
        <f>+'Presupuesto detallado'!B87</f>
        <v xml:space="preserve">4.1.7. Aumento de la capacidad de almacenamiento del recurso hídrico, al interior del sistema productivo, a través de la implementación de sistemas novedosos y adaptados según las regiones (reservorios, rebombeo y reciclaje), para soluciones individuales o asociadas. </v>
      </c>
      <c r="C14" s="19" t="s">
        <v>150</v>
      </c>
      <c r="D14" s="56"/>
      <c r="E14" s="56"/>
      <c r="F14" s="56"/>
      <c r="G14" s="133">
        <f>+H69</f>
        <v>50947886</v>
      </c>
      <c r="H14" s="140">
        <f>+H70</f>
        <v>35000000000</v>
      </c>
      <c r="I14" s="140">
        <f>+H71</f>
        <v>35000000000</v>
      </c>
      <c r="J14" s="140">
        <f>+H72</f>
        <v>35000000000</v>
      </c>
      <c r="K14" s="140">
        <f>+H73</f>
        <v>35000000000</v>
      </c>
      <c r="L14" s="140">
        <f>+H74</f>
        <v>35000000000</v>
      </c>
      <c r="M14" s="140">
        <f>+H75</f>
        <v>3500000000</v>
      </c>
      <c r="N14" s="140">
        <f>+H75</f>
        <v>3500000000</v>
      </c>
      <c r="O14" s="140">
        <f>+H75</f>
        <v>3500000000</v>
      </c>
      <c r="P14" s="140">
        <f>+H75</f>
        <v>3500000000</v>
      </c>
      <c r="Q14" s="140">
        <f>+H75</f>
        <v>3500000000</v>
      </c>
      <c r="R14" s="140">
        <f>+H75</f>
        <v>3500000000</v>
      </c>
      <c r="S14" s="140">
        <f>+H75</f>
        <v>3500000000</v>
      </c>
      <c r="T14" s="140">
        <f>+H75</f>
        <v>3500000000</v>
      </c>
      <c r="U14" s="140">
        <f>+H75</f>
        <v>3500000000</v>
      </c>
      <c r="V14" s="140">
        <f>+H75</f>
        <v>3500000000</v>
      </c>
      <c r="W14" s="133">
        <f t="shared" si="0"/>
        <v>210050947886</v>
      </c>
    </row>
    <row r="15" spans="2:24" ht="48" x14ac:dyDescent="0.25">
      <c r="B15" s="18" t="str">
        <f>+'Presupuesto detallado'!B88</f>
        <v>4.1.8. Fortalecimiento de las organizaciones con influencia en las regiones arroceras, para la gestión colectiva del agua, promoviendo mecanismos para la resolución de conflictos del agua a nivel local</v>
      </c>
      <c r="C15" s="19" t="s">
        <v>160</v>
      </c>
      <c r="D15" s="56"/>
      <c r="E15" s="56"/>
      <c r="F15" s="56"/>
      <c r="G15" s="133">
        <f>H84</f>
        <v>101895772</v>
      </c>
      <c r="H15" s="133">
        <f>H84</f>
        <v>101895772</v>
      </c>
      <c r="I15" s="140" t="str">
        <f>+H83</f>
        <v>Presupuesto relativo</v>
      </c>
      <c r="J15" s="56"/>
      <c r="K15" s="140" t="str">
        <f>+H83</f>
        <v>Presupuesto relativo</v>
      </c>
      <c r="M15" s="140" t="str">
        <f>+H83</f>
        <v>Presupuesto relativo</v>
      </c>
      <c r="N15" s="56"/>
      <c r="O15" s="140" t="str">
        <f>+H83</f>
        <v>Presupuesto relativo</v>
      </c>
      <c r="P15" s="56"/>
      <c r="Q15" s="140" t="str">
        <f>+H83</f>
        <v>Presupuesto relativo</v>
      </c>
      <c r="S15" s="140" t="str">
        <f>+H83</f>
        <v>Presupuesto relativo</v>
      </c>
      <c r="T15" s="18"/>
      <c r="U15" s="140" t="str">
        <f>+H83</f>
        <v>Presupuesto relativo</v>
      </c>
      <c r="V15" s="18"/>
      <c r="W15" s="133">
        <f t="shared" si="0"/>
        <v>203791544</v>
      </c>
    </row>
    <row r="16" spans="2:24" ht="36" customHeight="1" x14ac:dyDescent="0.25">
      <c r="B16" s="18" t="str">
        <f>+'Presupuesto detallado'!B89</f>
        <v>4.1.9. Promoción y articulación de mecanismos tarifarios para incentivar el uso eficiente del agua</v>
      </c>
      <c r="C16" s="19" t="s">
        <v>159</v>
      </c>
      <c r="D16" s="56"/>
      <c r="E16" s="56"/>
      <c r="F16" s="133">
        <f>H91</f>
        <v>50947886</v>
      </c>
      <c r="G16" s="133">
        <f>F16</f>
        <v>50947886</v>
      </c>
      <c r="H16" s="133">
        <f>G16</f>
        <v>50947886</v>
      </c>
      <c r="I16" s="140" t="str">
        <f t="shared" ref="I16:V16" si="2">+$H$90</f>
        <v>Presupuesto relativo</v>
      </c>
      <c r="J16" s="140" t="str">
        <f t="shared" si="2"/>
        <v>Presupuesto relativo</v>
      </c>
      <c r="K16" s="140" t="str">
        <f t="shared" si="2"/>
        <v>Presupuesto relativo</v>
      </c>
      <c r="L16" s="140" t="str">
        <f t="shared" si="2"/>
        <v>Presupuesto relativo</v>
      </c>
      <c r="M16" s="140" t="str">
        <f t="shared" si="2"/>
        <v>Presupuesto relativo</v>
      </c>
      <c r="N16" s="140" t="str">
        <f t="shared" si="2"/>
        <v>Presupuesto relativo</v>
      </c>
      <c r="O16" s="140" t="str">
        <f t="shared" si="2"/>
        <v>Presupuesto relativo</v>
      </c>
      <c r="P16" s="140" t="str">
        <f t="shared" si="2"/>
        <v>Presupuesto relativo</v>
      </c>
      <c r="Q16" s="140" t="str">
        <f t="shared" si="2"/>
        <v>Presupuesto relativo</v>
      </c>
      <c r="R16" s="140" t="str">
        <f t="shared" si="2"/>
        <v>Presupuesto relativo</v>
      </c>
      <c r="S16" s="140" t="str">
        <f t="shared" si="2"/>
        <v>Presupuesto relativo</v>
      </c>
      <c r="T16" s="140" t="str">
        <f t="shared" si="2"/>
        <v>Presupuesto relativo</v>
      </c>
      <c r="U16" s="140" t="str">
        <f t="shared" si="2"/>
        <v>Presupuesto relativo</v>
      </c>
      <c r="V16" s="140" t="str">
        <f t="shared" si="2"/>
        <v>Presupuesto relativo</v>
      </c>
      <c r="W16" s="133">
        <f t="shared" si="0"/>
        <v>152843658</v>
      </c>
    </row>
    <row r="17" spans="2:23" ht="24" customHeight="1" x14ac:dyDescent="0.25">
      <c r="W17" s="165">
        <f>SUM(W8:W16)</f>
        <v>211820806225.70001</v>
      </c>
    </row>
    <row r="18" spans="2:23" x14ac:dyDescent="0.25">
      <c r="B18" s="13" t="s">
        <v>424</v>
      </c>
      <c r="C18" s="13" t="s">
        <v>40</v>
      </c>
      <c r="D18" s="13" t="s">
        <v>41</v>
      </c>
      <c r="E18" s="13" t="s">
        <v>42</v>
      </c>
      <c r="F18" s="13" t="s">
        <v>43</v>
      </c>
      <c r="G18" s="13" t="s">
        <v>554</v>
      </c>
      <c r="H18" s="13" t="s">
        <v>44</v>
      </c>
      <c r="W18" s="165">
        <f>+'Presupuesto detallado'!V80</f>
        <v>211820806225.70001</v>
      </c>
    </row>
    <row r="19" spans="2:23" x14ac:dyDescent="0.25">
      <c r="B19" s="56" t="s">
        <v>305</v>
      </c>
      <c r="C19" s="21">
        <v>1</v>
      </c>
      <c r="D19" s="14" t="s">
        <v>230</v>
      </c>
      <c r="E19" s="49">
        <f>+Parámetros!D12</f>
        <v>10245720</v>
      </c>
      <c r="F19" s="23">
        <v>11</v>
      </c>
      <c r="G19" s="118">
        <v>0.25</v>
      </c>
      <c r="H19" s="57">
        <f>C19*E19*F19*G19</f>
        <v>28175730</v>
      </c>
      <c r="W19" s="222">
        <f>+W17-W18</f>
        <v>0</v>
      </c>
    </row>
    <row r="20" spans="2:23" x14ac:dyDescent="0.25">
      <c r="B20" s="56" t="s">
        <v>557</v>
      </c>
      <c r="C20" s="21">
        <v>1</v>
      </c>
      <c r="D20" s="14" t="s">
        <v>230</v>
      </c>
      <c r="E20" s="49">
        <f>+Parámetros!D14</f>
        <v>7017615</v>
      </c>
      <c r="F20" s="23">
        <v>11</v>
      </c>
      <c r="G20" s="118">
        <v>0.25</v>
      </c>
      <c r="H20" s="57">
        <f>C20*E20*F20*G20</f>
        <v>19298441.25</v>
      </c>
    </row>
    <row r="21" spans="2:23" x14ac:dyDescent="0.25">
      <c r="B21" s="56" t="s">
        <v>193</v>
      </c>
      <c r="C21" s="21">
        <v>4</v>
      </c>
      <c r="D21" s="14" t="s">
        <v>194</v>
      </c>
      <c r="E21" s="49">
        <f>+Parámetros!C32</f>
        <v>1000000</v>
      </c>
      <c r="F21" s="23"/>
      <c r="G21" s="23"/>
      <c r="H21" s="57">
        <f t="shared" ref="H21:H26" si="3">C21*E21</f>
        <v>4000000</v>
      </c>
    </row>
    <row r="22" spans="2:23" x14ac:dyDescent="0.25">
      <c r="B22" s="56" t="s">
        <v>317</v>
      </c>
      <c r="C22" s="21">
        <v>12</v>
      </c>
      <c r="D22" s="54" t="s">
        <v>115</v>
      </c>
      <c r="E22" s="49">
        <f>+Parámetros!D21</f>
        <v>665583</v>
      </c>
      <c r="F22" s="23"/>
      <c r="G22" s="23"/>
      <c r="H22" s="57">
        <f t="shared" si="3"/>
        <v>7986996</v>
      </c>
    </row>
    <row r="23" spans="2:23" x14ac:dyDescent="0.25">
      <c r="B23" s="56" t="s">
        <v>193</v>
      </c>
      <c r="C23" s="21">
        <v>4</v>
      </c>
      <c r="D23" s="14" t="s">
        <v>194</v>
      </c>
      <c r="E23" s="49">
        <v>1000000</v>
      </c>
      <c r="F23" s="23"/>
      <c r="G23" s="23"/>
      <c r="H23" s="57">
        <f t="shared" si="3"/>
        <v>4000000</v>
      </c>
    </row>
    <row r="24" spans="2:23" x14ac:dyDescent="0.25">
      <c r="B24" s="56" t="s">
        <v>138</v>
      </c>
      <c r="C24" s="21">
        <v>12</v>
      </c>
      <c r="D24" s="54" t="s">
        <v>115</v>
      </c>
      <c r="E24" s="49">
        <f>+Parámetros!D25</f>
        <v>313769</v>
      </c>
      <c r="F24" s="23"/>
      <c r="G24" s="23"/>
      <c r="H24" s="57">
        <f t="shared" si="3"/>
        <v>3765228</v>
      </c>
    </row>
    <row r="25" spans="2:23" x14ac:dyDescent="0.25">
      <c r="B25" s="56" t="s">
        <v>232</v>
      </c>
      <c r="C25" s="21">
        <v>2</v>
      </c>
      <c r="D25" s="14" t="s">
        <v>104</v>
      </c>
      <c r="E25" s="49">
        <v>3000000</v>
      </c>
      <c r="F25" s="23"/>
      <c r="G25" s="23"/>
      <c r="H25" s="57">
        <f t="shared" si="3"/>
        <v>6000000</v>
      </c>
    </row>
    <row r="26" spans="2:23" x14ac:dyDescent="0.25">
      <c r="B26" s="56" t="s">
        <v>233</v>
      </c>
      <c r="C26" s="21">
        <v>5</v>
      </c>
      <c r="D26" s="14" t="s">
        <v>104</v>
      </c>
      <c r="E26" s="49">
        <v>5000000</v>
      </c>
      <c r="F26" s="23"/>
      <c r="G26" s="23"/>
      <c r="H26" s="57">
        <f t="shared" si="3"/>
        <v>25000000</v>
      </c>
    </row>
    <row r="27" spans="2:23" x14ac:dyDescent="0.25">
      <c r="B27" s="56" t="s">
        <v>433</v>
      </c>
      <c r="C27" s="21"/>
      <c r="D27" s="14"/>
      <c r="E27" s="49"/>
      <c r="F27" s="23"/>
      <c r="G27" s="23"/>
      <c r="H27" s="53" t="str">
        <f>+Parámetros!C4</f>
        <v>Presupuesto relativo</v>
      </c>
    </row>
    <row r="28" spans="2:23" x14ac:dyDescent="0.25">
      <c r="B28" s="25" t="s">
        <v>107</v>
      </c>
      <c r="C28" s="130"/>
      <c r="D28" s="131"/>
      <c r="E28" s="50"/>
      <c r="F28" s="132"/>
      <c r="G28" s="132"/>
      <c r="H28" s="61">
        <f>SUM(H19:H27)</f>
        <v>98226395.25</v>
      </c>
    </row>
    <row r="29" spans="2:23" x14ac:dyDescent="0.25">
      <c r="B29" s="5"/>
      <c r="C29" s="5"/>
      <c r="D29" s="5"/>
      <c r="E29" s="5"/>
      <c r="F29" s="5"/>
      <c r="G29" s="5"/>
      <c r="H29" s="5"/>
    </row>
    <row r="30" spans="2:23" x14ac:dyDescent="0.25">
      <c r="B30" s="5"/>
      <c r="C30" s="5"/>
      <c r="D30" s="5"/>
      <c r="E30" s="5"/>
      <c r="F30" s="5"/>
      <c r="G30" s="5"/>
      <c r="H30" s="5"/>
    </row>
    <row r="31" spans="2:23" x14ac:dyDescent="0.25">
      <c r="B31" s="13" t="s">
        <v>425</v>
      </c>
      <c r="C31" s="13" t="s">
        <v>40</v>
      </c>
      <c r="D31" s="13" t="s">
        <v>41</v>
      </c>
      <c r="E31" s="13" t="s">
        <v>42</v>
      </c>
      <c r="F31" s="13" t="s">
        <v>43</v>
      </c>
      <c r="G31" s="13" t="s">
        <v>554</v>
      </c>
      <c r="H31" s="13" t="s">
        <v>44</v>
      </c>
    </row>
    <row r="32" spans="2:23" x14ac:dyDescent="0.25">
      <c r="B32" s="14" t="s">
        <v>321</v>
      </c>
      <c r="C32" s="21">
        <v>1</v>
      </c>
      <c r="D32" s="14" t="s">
        <v>230</v>
      </c>
      <c r="E32" s="49">
        <f>+Parámetros!D11</f>
        <v>11508889</v>
      </c>
      <c r="F32" s="23">
        <v>11</v>
      </c>
      <c r="G32" s="118">
        <v>0.4</v>
      </c>
      <c r="H32" s="57">
        <f>+C32*E32*F32*G32</f>
        <v>50639111.600000001</v>
      </c>
    </row>
    <row r="33" spans="2:8" x14ac:dyDescent="0.25">
      <c r="B33" s="14" t="s">
        <v>565</v>
      </c>
      <c r="C33" s="21">
        <v>2</v>
      </c>
      <c r="D33" s="14" t="s">
        <v>230</v>
      </c>
      <c r="E33" s="49">
        <f>+Parámetros!D14</f>
        <v>7017615</v>
      </c>
      <c r="F33" s="23">
        <v>11</v>
      </c>
      <c r="G33" s="118">
        <v>0.4</v>
      </c>
      <c r="H33" s="57">
        <f>+C33*E33*F33*G33</f>
        <v>61755012</v>
      </c>
    </row>
    <row r="34" spans="2:8" x14ac:dyDescent="0.25">
      <c r="B34" s="14" t="s">
        <v>193</v>
      </c>
      <c r="C34" s="21">
        <v>4</v>
      </c>
      <c r="D34" s="14" t="s">
        <v>202</v>
      </c>
      <c r="E34" s="49">
        <f>+Parámetros!C32</f>
        <v>1000000</v>
      </c>
      <c r="F34" s="23"/>
      <c r="G34" s="23"/>
      <c r="H34" s="57">
        <f>C34*E34</f>
        <v>4000000</v>
      </c>
    </row>
    <row r="35" spans="2:8" x14ac:dyDescent="0.25">
      <c r="B35" s="14" t="s">
        <v>139</v>
      </c>
      <c r="C35" s="21">
        <v>12</v>
      </c>
      <c r="D35" s="54" t="s">
        <v>115</v>
      </c>
      <c r="E35" s="49">
        <f>+Parámetros!D24</f>
        <v>313769</v>
      </c>
      <c r="F35" s="23"/>
      <c r="G35" s="23"/>
      <c r="H35" s="57">
        <f>C35*E35</f>
        <v>3765228</v>
      </c>
    </row>
    <row r="36" spans="2:8" x14ac:dyDescent="0.25">
      <c r="B36" s="14" t="s">
        <v>232</v>
      </c>
      <c r="C36" s="21">
        <v>2</v>
      </c>
      <c r="D36" s="14" t="s">
        <v>104</v>
      </c>
      <c r="E36" s="49">
        <f>E25</f>
        <v>3000000</v>
      </c>
      <c r="F36" s="23"/>
      <c r="G36" s="23"/>
      <c r="H36" s="57">
        <f>C36*E36</f>
        <v>6000000</v>
      </c>
    </row>
    <row r="37" spans="2:8" x14ac:dyDescent="0.25">
      <c r="B37" s="14" t="s">
        <v>233</v>
      </c>
      <c r="C37" s="21">
        <v>3</v>
      </c>
      <c r="D37" s="14" t="s">
        <v>104</v>
      </c>
      <c r="E37" s="49">
        <f>E26</f>
        <v>5000000</v>
      </c>
      <c r="F37" s="23"/>
      <c r="G37" s="23"/>
      <c r="H37" s="57">
        <f>C37*E37</f>
        <v>15000000</v>
      </c>
    </row>
    <row r="38" spans="2:8" x14ac:dyDescent="0.25">
      <c r="B38" s="25" t="s">
        <v>107</v>
      </c>
      <c r="C38" s="130"/>
      <c r="D38" s="131"/>
      <c r="E38" s="50"/>
      <c r="F38" s="132"/>
      <c r="G38" s="23"/>
      <c r="H38" s="61">
        <f>SUM(H32:H37)</f>
        <v>141159351.59999999</v>
      </c>
    </row>
    <row r="39" spans="2:8" x14ac:dyDescent="0.25">
      <c r="B39" s="90"/>
      <c r="C39" s="207"/>
      <c r="D39" s="208"/>
      <c r="E39" s="70"/>
      <c r="F39" s="209"/>
      <c r="G39" s="5"/>
      <c r="H39" s="5"/>
    </row>
    <row r="41" spans="2:8" x14ac:dyDescent="0.25">
      <c r="B41" s="13" t="s">
        <v>426</v>
      </c>
      <c r="C41" s="13" t="s">
        <v>40</v>
      </c>
      <c r="D41" s="13" t="s">
        <v>41</v>
      </c>
      <c r="E41" s="13" t="s">
        <v>42</v>
      </c>
      <c r="F41" s="13" t="s">
        <v>43</v>
      </c>
      <c r="G41" s="13" t="s">
        <v>554</v>
      </c>
      <c r="H41" s="13" t="s">
        <v>44</v>
      </c>
    </row>
    <row r="42" spans="2:8" x14ac:dyDescent="0.25">
      <c r="B42" s="14" t="s">
        <v>321</v>
      </c>
      <c r="C42" s="21">
        <v>1</v>
      </c>
      <c r="D42" s="14" t="s">
        <v>230</v>
      </c>
      <c r="E42" s="49">
        <f>+Parámetros!D11</f>
        <v>11508889</v>
      </c>
      <c r="F42" s="23">
        <v>11</v>
      </c>
      <c r="G42" s="118">
        <v>0.3</v>
      </c>
      <c r="H42" s="57">
        <f>E42*F42*G42</f>
        <v>37979333.699999996</v>
      </c>
    </row>
    <row r="43" spans="2:8" x14ac:dyDescent="0.25">
      <c r="B43" s="14" t="s">
        <v>565</v>
      </c>
      <c r="C43" s="21">
        <v>1</v>
      </c>
      <c r="D43" s="14" t="s">
        <v>230</v>
      </c>
      <c r="E43" s="49">
        <f>+Parámetros!D14</f>
        <v>7017615</v>
      </c>
      <c r="F43" s="23">
        <v>11</v>
      </c>
      <c r="G43" s="118">
        <v>0.3</v>
      </c>
      <c r="H43" s="57">
        <f>E43*F43*G43</f>
        <v>23158129.5</v>
      </c>
    </row>
    <row r="44" spans="2:8" x14ac:dyDescent="0.25">
      <c r="B44" s="56" t="s">
        <v>290</v>
      </c>
      <c r="C44" s="21"/>
      <c r="D44" s="14"/>
      <c r="E44" s="49"/>
      <c r="F44" s="23"/>
      <c r="G44" s="23"/>
      <c r="H44" s="53" t="s">
        <v>118</v>
      </c>
    </row>
    <row r="45" spans="2:8" x14ac:dyDescent="0.25">
      <c r="B45" s="25" t="s">
        <v>107</v>
      </c>
      <c r="C45" s="130"/>
      <c r="D45" s="131"/>
      <c r="E45" s="50"/>
      <c r="F45" s="132"/>
      <c r="G45" s="23"/>
      <c r="H45" s="150">
        <f>SUM(H42:H44)</f>
        <v>61137463.199999996</v>
      </c>
    </row>
    <row r="46" spans="2:8" x14ac:dyDescent="0.25">
      <c r="B46" s="90"/>
      <c r="C46" s="207"/>
      <c r="D46" s="208"/>
      <c r="E46" s="70"/>
      <c r="F46" s="209"/>
      <c r="G46" s="210"/>
      <c r="H46" s="211"/>
    </row>
    <row r="48" spans="2:8" x14ac:dyDescent="0.25">
      <c r="B48" s="13" t="s">
        <v>427</v>
      </c>
      <c r="C48" s="13" t="s">
        <v>40</v>
      </c>
      <c r="D48" s="13" t="s">
        <v>41</v>
      </c>
      <c r="E48" s="13" t="s">
        <v>42</v>
      </c>
      <c r="F48" s="13" t="s">
        <v>43</v>
      </c>
      <c r="G48" s="13" t="s">
        <v>554</v>
      </c>
      <c r="H48" s="13" t="s">
        <v>44</v>
      </c>
    </row>
    <row r="49" spans="2:8" x14ac:dyDescent="0.25">
      <c r="B49" s="14" t="s">
        <v>566</v>
      </c>
      <c r="C49" s="21">
        <v>1</v>
      </c>
      <c r="D49" s="14" t="s">
        <v>230</v>
      </c>
      <c r="E49" s="49">
        <f>+Parámetros!D11</f>
        <v>11508889</v>
      </c>
      <c r="F49" s="23">
        <v>11</v>
      </c>
      <c r="G49" s="118">
        <v>0.25</v>
      </c>
      <c r="H49" s="57">
        <f>E49*F49*G49</f>
        <v>31649444.75</v>
      </c>
    </row>
    <row r="50" spans="2:8" x14ac:dyDescent="0.25">
      <c r="B50" s="14" t="s">
        <v>567</v>
      </c>
      <c r="C50" s="21">
        <v>1</v>
      </c>
      <c r="D50" s="14" t="s">
        <v>230</v>
      </c>
      <c r="E50" s="49">
        <f>+Parámetros!D14</f>
        <v>7017615</v>
      </c>
      <c r="F50" s="23">
        <v>11</v>
      </c>
      <c r="G50" s="118">
        <v>0.25</v>
      </c>
      <c r="H50" s="57">
        <f>E50*F50*G50</f>
        <v>19298441.25</v>
      </c>
    </row>
    <row r="51" spans="2:8" x14ac:dyDescent="0.25">
      <c r="B51" s="56" t="s">
        <v>198</v>
      </c>
      <c r="C51" s="21"/>
      <c r="D51" s="14"/>
      <c r="E51" s="49"/>
      <c r="F51" s="23"/>
      <c r="G51" s="23"/>
      <c r="H51" s="53" t="s">
        <v>118</v>
      </c>
    </row>
    <row r="52" spans="2:8" x14ac:dyDescent="0.25">
      <c r="B52" s="25" t="s">
        <v>107</v>
      </c>
      <c r="C52" s="130"/>
      <c r="D52" s="131"/>
      <c r="E52" s="50"/>
      <c r="F52" s="132"/>
      <c r="G52" s="23"/>
      <c r="H52" s="150">
        <f>SUM(H49:H51)</f>
        <v>50947886</v>
      </c>
    </row>
    <row r="54" spans="2:8" x14ac:dyDescent="0.25">
      <c r="B54" s="13" t="s">
        <v>428</v>
      </c>
      <c r="C54" s="13" t="s">
        <v>40</v>
      </c>
      <c r="D54" s="13" t="s">
        <v>41</v>
      </c>
      <c r="E54" s="13" t="s">
        <v>42</v>
      </c>
      <c r="F54" s="13" t="s">
        <v>43</v>
      </c>
      <c r="G54" s="13" t="s">
        <v>554</v>
      </c>
      <c r="H54" s="13" t="s">
        <v>44</v>
      </c>
    </row>
    <row r="55" spans="2:8" x14ac:dyDescent="0.25">
      <c r="B55" s="14" t="s">
        <v>321</v>
      </c>
      <c r="C55" s="21">
        <v>1</v>
      </c>
      <c r="D55" s="14" t="s">
        <v>230</v>
      </c>
      <c r="E55" s="49">
        <f>+Parámetros!D11</f>
        <v>11508889</v>
      </c>
      <c r="F55" s="23">
        <v>11</v>
      </c>
      <c r="G55" s="118">
        <v>0.3</v>
      </c>
      <c r="H55" s="57">
        <f>E55*F55*G55</f>
        <v>37979333.699999996</v>
      </c>
    </row>
    <row r="56" spans="2:8" x14ac:dyDescent="0.25">
      <c r="B56" s="14" t="s">
        <v>565</v>
      </c>
      <c r="C56" s="21">
        <v>1</v>
      </c>
      <c r="D56" s="14" t="s">
        <v>230</v>
      </c>
      <c r="E56" s="49">
        <f>+Parámetros!D14</f>
        <v>7017615</v>
      </c>
      <c r="F56" s="23">
        <v>11</v>
      </c>
      <c r="G56" s="118">
        <v>0.3</v>
      </c>
      <c r="H56" s="57">
        <f>E56*F56*G56</f>
        <v>23158129.5</v>
      </c>
    </row>
    <row r="57" spans="2:8" x14ac:dyDescent="0.25">
      <c r="B57" s="56" t="s">
        <v>116</v>
      </c>
      <c r="C57" s="21"/>
      <c r="D57" s="14"/>
      <c r="E57" s="49"/>
      <c r="F57" s="23"/>
      <c r="G57" s="23"/>
      <c r="H57" s="53" t="s">
        <v>218</v>
      </c>
    </row>
    <row r="58" spans="2:8" x14ac:dyDescent="0.25">
      <c r="B58" s="25" t="s">
        <v>107</v>
      </c>
      <c r="C58" s="130"/>
      <c r="D58" s="131"/>
      <c r="E58" s="50"/>
      <c r="F58" s="132"/>
      <c r="G58" s="132"/>
      <c r="H58" s="150">
        <f>SUM(H55:H57)</f>
        <v>61137463.199999996</v>
      </c>
    </row>
    <row r="60" spans="2:8" x14ac:dyDescent="0.25">
      <c r="B60" s="13" t="s">
        <v>429</v>
      </c>
      <c r="C60" s="13" t="s">
        <v>40</v>
      </c>
      <c r="D60" s="13" t="s">
        <v>41</v>
      </c>
      <c r="E60" s="13" t="s">
        <v>42</v>
      </c>
      <c r="F60" s="13" t="s">
        <v>43</v>
      </c>
      <c r="G60" s="13" t="s">
        <v>554</v>
      </c>
      <c r="H60" s="13" t="s">
        <v>44</v>
      </c>
    </row>
    <row r="61" spans="2:8" x14ac:dyDescent="0.25">
      <c r="B61" s="14" t="s">
        <v>101</v>
      </c>
      <c r="C61" s="21">
        <v>1</v>
      </c>
      <c r="D61" s="14" t="s">
        <v>230</v>
      </c>
      <c r="E61" s="49">
        <f>+Parámetros!D11</f>
        <v>11508889</v>
      </c>
      <c r="F61" s="23">
        <v>11</v>
      </c>
      <c r="G61" s="118">
        <v>0.5</v>
      </c>
      <c r="H61" s="57">
        <f>E61*F61*G61</f>
        <v>63298889.5</v>
      </c>
    </row>
    <row r="62" spans="2:8" x14ac:dyDescent="0.25">
      <c r="B62" s="14" t="s">
        <v>558</v>
      </c>
      <c r="C62" s="21">
        <v>1</v>
      </c>
      <c r="D62" s="14" t="s">
        <v>230</v>
      </c>
      <c r="E62" s="49">
        <f>+Parámetros!D14</f>
        <v>7017615</v>
      </c>
      <c r="F62" s="23">
        <v>11</v>
      </c>
      <c r="G62" s="118">
        <v>0.5</v>
      </c>
      <c r="H62" s="57">
        <f>E62*F62*G62</f>
        <v>38596882.5</v>
      </c>
    </row>
    <row r="63" spans="2:8" x14ac:dyDescent="0.25">
      <c r="B63" s="56" t="s">
        <v>198</v>
      </c>
      <c r="C63" s="21"/>
      <c r="D63" s="14"/>
      <c r="E63" s="49"/>
      <c r="F63" s="23"/>
      <c r="G63" s="23"/>
      <c r="H63" s="53" t="s">
        <v>118</v>
      </c>
    </row>
    <row r="64" spans="2:8" x14ac:dyDescent="0.25">
      <c r="B64" s="25" t="s">
        <v>107</v>
      </c>
      <c r="C64" s="130"/>
      <c r="D64" s="131"/>
      <c r="E64" s="50"/>
      <c r="F64" s="132"/>
      <c r="G64" s="132"/>
      <c r="H64" s="150">
        <f>SUM(H61:H63)</f>
        <v>101895772</v>
      </c>
    </row>
    <row r="66" spans="2:11" x14ac:dyDescent="0.25">
      <c r="B66" s="13" t="s">
        <v>430</v>
      </c>
      <c r="C66" s="13" t="s">
        <v>40</v>
      </c>
      <c r="D66" s="13" t="s">
        <v>41</v>
      </c>
      <c r="E66" s="13" t="s">
        <v>42</v>
      </c>
      <c r="F66" s="13" t="s">
        <v>43</v>
      </c>
      <c r="G66" s="13" t="s">
        <v>554</v>
      </c>
      <c r="H66" s="13" t="s">
        <v>44</v>
      </c>
    </row>
    <row r="67" spans="2:11" x14ac:dyDescent="0.25">
      <c r="B67" s="14" t="s">
        <v>566</v>
      </c>
      <c r="C67" s="21">
        <v>1</v>
      </c>
      <c r="D67" s="14" t="s">
        <v>230</v>
      </c>
      <c r="E67" s="49">
        <f>+Parámetros!D11</f>
        <v>11508889</v>
      </c>
      <c r="F67" s="23">
        <v>11</v>
      </c>
      <c r="G67" s="118">
        <v>0.25</v>
      </c>
      <c r="H67" s="57">
        <f>E67*F67*G67</f>
        <v>31649444.75</v>
      </c>
    </row>
    <row r="68" spans="2:11" x14ac:dyDescent="0.25">
      <c r="B68" s="14" t="s">
        <v>567</v>
      </c>
      <c r="C68" s="21">
        <v>1</v>
      </c>
      <c r="D68" s="14" t="s">
        <v>230</v>
      </c>
      <c r="E68" s="49">
        <f>+Parámetros!D14</f>
        <v>7017615</v>
      </c>
      <c r="F68" s="23">
        <v>11</v>
      </c>
      <c r="G68" s="118">
        <v>0.25</v>
      </c>
      <c r="H68" s="57">
        <f>E68*F68*G68</f>
        <v>19298441.25</v>
      </c>
    </row>
    <row r="69" spans="2:11" x14ac:dyDescent="0.25">
      <c r="B69" s="25" t="s">
        <v>564</v>
      </c>
      <c r="C69" s="21"/>
      <c r="D69" s="14"/>
      <c r="E69" s="49"/>
      <c r="F69" s="23"/>
      <c r="G69" s="23"/>
      <c r="H69" s="61">
        <f>SUM(H67:H68)</f>
        <v>50947886</v>
      </c>
    </row>
    <row r="70" spans="2:11" x14ac:dyDescent="0.25">
      <c r="B70" s="56" t="s">
        <v>559</v>
      </c>
      <c r="C70" s="55">
        <v>10</v>
      </c>
      <c r="D70" s="54" t="s">
        <v>552</v>
      </c>
      <c r="E70" s="57">
        <v>3500000000</v>
      </c>
      <c r="F70" s="23"/>
      <c r="G70" s="23"/>
      <c r="H70" s="57">
        <f>+C70*E70</f>
        <v>35000000000</v>
      </c>
    </row>
    <row r="71" spans="2:11" x14ac:dyDescent="0.25">
      <c r="B71" s="56" t="s">
        <v>560</v>
      </c>
      <c r="C71" s="55">
        <v>10</v>
      </c>
      <c r="D71" s="54" t="s">
        <v>552</v>
      </c>
      <c r="E71" s="57">
        <v>3500000000</v>
      </c>
      <c r="F71" s="23"/>
      <c r="G71" s="23"/>
      <c r="H71" s="57">
        <f>+C71*E71</f>
        <v>35000000000</v>
      </c>
    </row>
    <row r="72" spans="2:11" x14ac:dyDescent="0.25">
      <c r="B72" s="56" t="s">
        <v>561</v>
      </c>
      <c r="C72" s="55">
        <v>10</v>
      </c>
      <c r="D72" s="54" t="s">
        <v>552</v>
      </c>
      <c r="E72" s="57">
        <v>3500000000</v>
      </c>
      <c r="F72" s="23"/>
      <c r="G72" s="23"/>
      <c r="H72" s="57">
        <f>+C72*E72</f>
        <v>35000000000</v>
      </c>
    </row>
    <row r="73" spans="2:11" x14ac:dyDescent="0.25">
      <c r="B73" s="56" t="s">
        <v>562</v>
      </c>
      <c r="C73" s="55">
        <v>10</v>
      </c>
      <c r="D73" s="54" t="s">
        <v>552</v>
      </c>
      <c r="E73" s="57">
        <v>3500000000</v>
      </c>
      <c r="F73" s="23"/>
      <c r="G73" s="23"/>
      <c r="H73" s="57">
        <f>+C73*E73</f>
        <v>35000000000</v>
      </c>
    </row>
    <row r="74" spans="2:11" x14ac:dyDescent="0.25">
      <c r="B74" s="56" t="s">
        <v>563</v>
      </c>
      <c r="C74" s="55">
        <v>10</v>
      </c>
      <c r="D74" s="54" t="s">
        <v>552</v>
      </c>
      <c r="E74" s="57">
        <v>3500000000</v>
      </c>
      <c r="F74" s="23"/>
      <c r="G74" s="23"/>
      <c r="H74" s="57">
        <f>+C74*E74</f>
        <v>35000000000</v>
      </c>
    </row>
    <row r="75" spans="2:11" x14ac:dyDescent="0.25">
      <c r="B75" s="18" t="s">
        <v>568</v>
      </c>
      <c r="C75" s="55">
        <v>1</v>
      </c>
      <c r="D75" s="56" t="s">
        <v>104</v>
      </c>
      <c r="E75" s="49"/>
      <c r="F75" s="23"/>
      <c r="G75" s="23"/>
      <c r="H75" s="53">
        <v>3500000000</v>
      </c>
      <c r="I75" s="276"/>
      <c r="J75" s="81"/>
      <c r="K75" s="212"/>
    </row>
    <row r="76" spans="2:11" x14ac:dyDescent="0.25">
      <c r="B76" s="213" t="s">
        <v>564</v>
      </c>
      <c r="C76" s="55"/>
      <c r="D76" s="56"/>
      <c r="E76" s="49"/>
      <c r="F76" s="23"/>
      <c r="G76" s="23"/>
      <c r="H76" s="150">
        <f>SUM(H70:H75)</f>
        <v>178500000000</v>
      </c>
      <c r="I76" s="275"/>
      <c r="J76" s="81"/>
      <c r="K76" s="212"/>
    </row>
    <row r="77" spans="2:11" x14ac:dyDescent="0.25">
      <c r="B77" s="25" t="s">
        <v>107</v>
      </c>
      <c r="C77" s="130"/>
      <c r="D77" s="131"/>
      <c r="E77" s="50"/>
      <c r="F77" s="132"/>
      <c r="G77" s="132"/>
      <c r="H77" s="150">
        <f>+H69+H76</f>
        <v>178550947886</v>
      </c>
    </row>
    <row r="78" spans="2:11" x14ac:dyDescent="0.25">
      <c r="B78" s="90"/>
      <c r="C78" s="207"/>
      <c r="D78" s="208"/>
      <c r="E78" s="70"/>
      <c r="F78" s="209"/>
      <c r="G78" s="209"/>
      <c r="H78" s="211"/>
    </row>
    <row r="80" spans="2:11" x14ac:dyDescent="0.25">
      <c r="B80" s="13" t="s">
        <v>431</v>
      </c>
      <c r="C80" s="13" t="s">
        <v>40</v>
      </c>
      <c r="D80" s="13" t="s">
        <v>41</v>
      </c>
      <c r="E80" s="13" t="s">
        <v>42</v>
      </c>
      <c r="F80" s="13" t="s">
        <v>43</v>
      </c>
      <c r="G80" s="13" t="s">
        <v>554</v>
      </c>
      <c r="H80" s="13" t="s">
        <v>44</v>
      </c>
    </row>
    <row r="81" spans="2:8" x14ac:dyDescent="0.25">
      <c r="B81" s="14" t="s">
        <v>566</v>
      </c>
      <c r="C81" s="21">
        <v>1</v>
      </c>
      <c r="D81" s="14" t="s">
        <v>230</v>
      </c>
      <c r="E81" s="49">
        <f>+Parámetros!D11</f>
        <v>11508889</v>
      </c>
      <c r="F81" s="23">
        <v>11</v>
      </c>
      <c r="G81" s="118">
        <v>0.5</v>
      </c>
      <c r="H81" s="57">
        <f>E81*F81*G81</f>
        <v>63298889.5</v>
      </c>
    </row>
    <row r="82" spans="2:8" x14ac:dyDescent="0.25">
      <c r="B82" s="14" t="s">
        <v>567</v>
      </c>
      <c r="C82" s="21">
        <v>1</v>
      </c>
      <c r="D82" s="14" t="s">
        <v>230</v>
      </c>
      <c r="E82" s="49">
        <f>+Parámetros!D14</f>
        <v>7017615</v>
      </c>
      <c r="F82" s="23">
        <v>11</v>
      </c>
      <c r="G82" s="118">
        <v>0.5</v>
      </c>
      <c r="H82" s="57">
        <f>E82*F82*G82</f>
        <v>38596882.5</v>
      </c>
    </row>
    <row r="83" spans="2:8" x14ac:dyDescent="0.25">
      <c r="B83" s="56" t="s">
        <v>198</v>
      </c>
      <c r="C83" s="21"/>
      <c r="D83" s="14"/>
      <c r="E83" s="49"/>
      <c r="F83" s="23"/>
      <c r="G83" s="23"/>
      <c r="H83" s="53" t="s">
        <v>118</v>
      </c>
    </row>
    <row r="84" spans="2:8" x14ac:dyDescent="0.25">
      <c r="B84" s="25" t="s">
        <v>107</v>
      </c>
      <c r="C84" s="130"/>
      <c r="D84" s="131"/>
      <c r="E84" s="50"/>
      <c r="F84" s="132"/>
      <c r="G84" s="132"/>
      <c r="H84" s="61">
        <f>SUM(H81:H82)</f>
        <v>101895772</v>
      </c>
    </row>
    <row r="85" spans="2:8" x14ac:dyDescent="0.25">
      <c r="B85" s="90"/>
      <c r="C85" s="207"/>
      <c r="D85" s="208"/>
      <c r="E85" s="70"/>
      <c r="F85" s="209"/>
      <c r="G85" s="209"/>
      <c r="H85" s="69"/>
    </row>
    <row r="87" spans="2:8" x14ac:dyDescent="0.25">
      <c r="B87" s="13" t="s">
        <v>432</v>
      </c>
      <c r="C87" s="13" t="s">
        <v>40</v>
      </c>
      <c r="D87" s="13" t="s">
        <v>41</v>
      </c>
      <c r="E87" s="13" t="s">
        <v>42</v>
      </c>
      <c r="F87" s="13" t="s">
        <v>43</v>
      </c>
      <c r="G87" s="13" t="s">
        <v>554</v>
      </c>
      <c r="H87" s="13" t="s">
        <v>44</v>
      </c>
    </row>
    <row r="88" spans="2:8" x14ac:dyDescent="0.25">
      <c r="B88" s="14" t="s">
        <v>101</v>
      </c>
      <c r="C88" s="21">
        <v>1</v>
      </c>
      <c r="D88" s="14" t="s">
        <v>230</v>
      </c>
      <c r="E88" s="49">
        <f>+Parámetros!D11</f>
        <v>11508889</v>
      </c>
      <c r="F88" s="23">
        <v>11</v>
      </c>
      <c r="G88" s="118">
        <v>0.25</v>
      </c>
      <c r="H88" s="57">
        <f>E88*F88*G88</f>
        <v>31649444.75</v>
      </c>
    </row>
    <row r="89" spans="2:8" x14ac:dyDescent="0.25">
      <c r="B89" s="14" t="s">
        <v>558</v>
      </c>
      <c r="C89" s="21">
        <v>1</v>
      </c>
      <c r="D89" s="14" t="s">
        <v>230</v>
      </c>
      <c r="E89" s="49">
        <f>+Parámetros!D14</f>
        <v>7017615</v>
      </c>
      <c r="F89" s="23">
        <v>11</v>
      </c>
      <c r="G89" s="118">
        <v>0.25</v>
      </c>
      <c r="H89" s="57">
        <f>E89*F89*G89</f>
        <v>19298441.25</v>
      </c>
    </row>
    <row r="90" spans="2:8" x14ac:dyDescent="0.25">
      <c r="B90" s="56" t="s">
        <v>198</v>
      </c>
      <c r="C90" s="21"/>
      <c r="D90" s="14"/>
      <c r="E90" s="49"/>
      <c r="F90" s="23"/>
      <c r="G90" s="23"/>
      <c r="H90" s="53" t="s">
        <v>118</v>
      </c>
    </row>
    <row r="91" spans="2:8" x14ac:dyDescent="0.25">
      <c r="B91" s="25" t="s">
        <v>107</v>
      </c>
      <c r="C91" s="130"/>
      <c r="D91" s="131"/>
      <c r="E91" s="50"/>
      <c r="F91" s="132"/>
      <c r="G91" s="132"/>
      <c r="H91" s="150">
        <f>SUM(H88:H90)</f>
        <v>50947886</v>
      </c>
    </row>
    <row r="93" spans="2:8" x14ac:dyDescent="0.25">
      <c r="B93" s="74"/>
    </row>
    <row r="94" spans="2:8" x14ac:dyDescent="0.25">
      <c r="B94" s="74"/>
    </row>
    <row r="95" spans="2:8" x14ac:dyDescent="0.25">
      <c r="B95" s="74"/>
    </row>
    <row r="96" spans="2:8" x14ac:dyDescent="0.25">
      <c r="B96" s="74"/>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8"/>
  <dimension ref="A1:Z126"/>
  <sheetViews>
    <sheetView zoomScale="110" zoomScaleNormal="110" workbookViewId="0">
      <selection activeCell="F17" sqref="F17"/>
    </sheetView>
  </sheetViews>
  <sheetFormatPr baseColWidth="10" defaultColWidth="11.42578125" defaultRowHeight="11.25" x14ac:dyDescent="0.2"/>
  <cols>
    <col min="1" max="1" width="6.140625" style="7" customWidth="1"/>
    <col min="2" max="2" width="27.42578125" style="30" bestFit="1" customWidth="1"/>
    <col min="3" max="3" width="25.28515625" style="30" bestFit="1" customWidth="1"/>
    <col min="4" max="4" width="14.85546875" style="30" bestFit="1" customWidth="1"/>
    <col min="5" max="5" width="14.5703125" style="30" customWidth="1"/>
    <col min="6" max="6" width="20.5703125" style="30" customWidth="1"/>
    <col min="7" max="7" width="17.140625" style="7" bestFit="1" customWidth="1"/>
    <col min="8" max="8" width="11.42578125" style="7"/>
    <col min="9" max="9" width="14" style="7" bestFit="1" customWidth="1"/>
    <col min="10" max="25" width="11.42578125" style="7"/>
    <col min="26" max="16384" width="11.42578125" style="30"/>
  </cols>
  <sheetData>
    <row r="1" spans="2:26" s="7" customFormat="1" x14ac:dyDescent="0.2"/>
    <row r="2" spans="2:26" s="7" customFormat="1" ht="12" x14ac:dyDescent="0.2">
      <c r="B2" s="38" t="s">
        <v>56</v>
      </c>
    </row>
    <row r="3" spans="2:26" s="7" customFormat="1" x14ac:dyDescent="0.2">
      <c r="B3" s="6"/>
    </row>
    <row r="4" spans="2:26" s="7" customFormat="1" ht="18" customHeight="1" x14ac:dyDescent="0.2">
      <c r="B4" s="307" t="s">
        <v>117</v>
      </c>
      <c r="C4" s="309" t="s">
        <v>118</v>
      </c>
    </row>
    <row r="5" spans="2:26" s="7" customFormat="1" ht="39" customHeight="1" x14ac:dyDescent="0.2">
      <c r="B5" s="308"/>
      <c r="C5" s="310"/>
    </row>
    <row r="6" spans="2:26" s="7" customFormat="1" ht="24.75" customHeight="1" x14ac:dyDescent="0.2">
      <c r="B6" s="235" t="s">
        <v>631</v>
      </c>
      <c r="C6" s="277" t="s">
        <v>630</v>
      </c>
    </row>
    <row r="7" spans="2:26" s="7" customFormat="1" x14ac:dyDescent="0.2"/>
    <row r="8" spans="2:26" x14ac:dyDescent="0.2">
      <c r="B8" s="29" t="s">
        <v>57</v>
      </c>
      <c r="C8" s="29" t="s">
        <v>55</v>
      </c>
      <c r="D8" s="29" t="s">
        <v>42</v>
      </c>
      <c r="E8" s="29" t="s">
        <v>41</v>
      </c>
      <c r="F8" s="29" t="s">
        <v>58</v>
      </c>
    </row>
    <row r="9" spans="2:26" ht="28.5" customHeight="1" x14ac:dyDescent="0.2">
      <c r="B9" s="31" t="s">
        <v>59</v>
      </c>
      <c r="C9" s="31" t="s">
        <v>60</v>
      </c>
      <c r="D9" s="32">
        <v>16000165</v>
      </c>
      <c r="E9" s="32" t="s">
        <v>61</v>
      </c>
      <c r="F9" s="311" t="s">
        <v>94</v>
      </c>
      <c r="H9" s="33" t="s">
        <v>62</v>
      </c>
      <c r="I9" s="312" t="s">
        <v>63</v>
      </c>
      <c r="J9" s="312"/>
      <c r="Z9" s="30" t="s">
        <v>51</v>
      </c>
    </row>
    <row r="10" spans="2:26" ht="28.5" customHeight="1" x14ac:dyDescent="0.2">
      <c r="B10" s="31" t="s">
        <v>318</v>
      </c>
      <c r="C10" s="31" t="s">
        <v>319</v>
      </c>
      <c r="D10" s="32">
        <v>14456289</v>
      </c>
      <c r="E10" s="32" t="s">
        <v>61</v>
      </c>
      <c r="F10" s="311"/>
      <c r="H10" s="3" t="s">
        <v>66</v>
      </c>
      <c r="I10" s="313" t="s">
        <v>67</v>
      </c>
      <c r="J10" s="314"/>
    </row>
    <row r="11" spans="2:26" ht="28.5" customHeight="1" x14ac:dyDescent="0.2">
      <c r="B11" s="31" t="s">
        <v>64</v>
      </c>
      <c r="C11" s="31" t="s">
        <v>65</v>
      </c>
      <c r="D11" s="32">
        <v>11508889</v>
      </c>
      <c r="E11" s="32" t="s">
        <v>61</v>
      </c>
      <c r="F11" s="311"/>
      <c r="H11" s="3" t="s">
        <v>71</v>
      </c>
      <c r="I11" s="313" t="s">
        <v>72</v>
      </c>
      <c r="J11" s="314"/>
      <c r="Z11" s="30" t="s">
        <v>68</v>
      </c>
    </row>
    <row r="12" spans="2:26" ht="28.5" customHeight="1" x14ac:dyDescent="0.2">
      <c r="B12" s="31" t="s">
        <v>69</v>
      </c>
      <c r="C12" s="31" t="s">
        <v>70</v>
      </c>
      <c r="D12" s="32">
        <v>10245720</v>
      </c>
      <c r="E12" s="32" t="s">
        <v>61</v>
      </c>
      <c r="F12" s="311"/>
      <c r="H12" s="3" t="s">
        <v>76</v>
      </c>
      <c r="I12" s="315" t="s">
        <v>77</v>
      </c>
      <c r="J12" s="315"/>
      <c r="Z12" s="30" t="s">
        <v>73</v>
      </c>
    </row>
    <row r="13" spans="2:26" ht="28.5" customHeight="1" x14ac:dyDescent="0.2">
      <c r="B13" s="31" t="s">
        <v>74</v>
      </c>
      <c r="C13" s="31" t="s">
        <v>75</v>
      </c>
      <c r="D13" s="32">
        <v>8000082</v>
      </c>
      <c r="E13" s="32" t="s">
        <v>61</v>
      </c>
      <c r="F13" s="311"/>
      <c r="Z13" s="30" t="s">
        <v>78</v>
      </c>
    </row>
    <row r="14" spans="2:26" ht="28.5" customHeight="1" x14ac:dyDescent="0.2">
      <c r="B14" s="31" t="s">
        <v>79</v>
      </c>
      <c r="C14" s="31" t="s">
        <v>80</v>
      </c>
      <c r="D14" s="34">
        <v>7017615</v>
      </c>
      <c r="E14" s="32" t="s">
        <v>61</v>
      </c>
      <c r="F14" s="311"/>
      <c r="Z14" s="30" t="s">
        <v>81</v>
      </c>
    </row>
    <row r="15" spans="2:26" ht="28.5" customHeight="1" x14ac:dyDescent="0.2">
      <c r="B15" s="31" t="s">
        <v>82</v>
      </c>
      <c r="C15" s="31" t="s">
        <v>83</v>
      </c>
      <c r="D15" s="34">
        <v>6456206</v>
      </c>
      <c r="E15" s="32" t="s">
        <v>61</v>
      </c>
      <c r="F15" s="311"/>
      <c r="Z15" s="30" t="s">
        <v>84</v>
      </c>
    </row>
    <row r="16" spans="2:26" ht="28.5" customHeight="1" x14ac:dyDescent="0.2">
      <c r="B16" s="31" t="s">
        <v>85</v>
      </c>
      <c r="C16" s="31" t="s">
        <v>86</v>
      </c>
      <c r="D16" s="34">
        <v>5894797</v>
      </c>
      <c r="E16" s="32" t="s">
        <v>61</v>
      </c>
      <c r="F16" s="311"/>
      <c r="Z16" s="30" t="s">
        <v>87</v>
      </c>
    </row>
    <row r="17" spans="2:26" x14ac:dyDescent="0.2">
      <c r="Z17" s="30" t="s">
        <v>88</v>
      </c>
    </row>
    <row r="18" spans="2:26" x14ac:dyDescent="0.2">
      <c r="B18" s="29" t="s">
        <v>45</v>
      </c>
      <c r="C18" s="29" t="s">
        <v>55</v>
      </c>
      <c r="D18" s="29" t="s">
        <v>42</v>
      </c>
      <c r="E18" s="29" t="s">
        <v>41</v>
      </c>
      <c r="F18" s="29" t="s">
        <v>89</v>
      </c>
      <c r="G18" s="29" t="s">
        <v>58</v>
      </c>
      <c r="Z18" s="30" t="s">
        <v>90</v>
      </c>
    </row>
    <row r="19" spans="2:26" ht="11.25" customHeight="1" x14ac:dyDescent="0.2">
      <c r="B19" s="35" t="s">
        <v>59</v>
      </c>
      <c r="C19" s="35" t="s">
        <v>60</v>
      </c>
      <c r="D19" s="34">
        <v>783825</v>
      </c>
      <c r="E19" s="35" t="s">
        <v>91</v>
      </c>
      <c r="F19" s="36">
        <f t="shared" ref="F19:F26" si="0">+D19*3.5</f>
        <v>2743387.5</v>
      </c>
      <c r="G19" s="304" t="s">
        <v>95</v>
      </c>
    </row>
    <row r="20" spans="2:26" ht="11.25" customHeight="1" x14ac:dyDescent="0.2">
      <c r="B20" s="31" t="s">
        <v>318</v>
      </c>
      <c r="C20" s="31" t="s">
        <v>319</v>
      </c>
      <c r="D20" s="34">
        <v>783825</v>
      </c>
      <c r="E20" s="35" t="s">
        <v>91</v>
      </c>
      <c r="F20" s="36">
        <f>+D20*3.5</f>
        <v>2743387.5</v>
      </c>
      <c r="G20" s="305"/>
    </row>
    <row r="21" spans="2:26" x14ac:dyDescent="0.2">
      <c r="B21" s="35" t="s">
        <v>64</v>
      </c>
      <c r="C21" s="35" t="s">
        <v>65</v>
      </c>
      <c r="D21" s="34">
        <v>665583</v>
      </c>
      <c r="E21" s="35" t="s">
        <v>91</v>
      </c>
      <c r="F21" s="36">
        <f t="shared" si="0"/>
        <v>2329540.5</v>
      </c>
      <c r="G21" s="305"/>
    </row>
    <row r="22" spans="2:26" x14ac:dyDescent="0.2">
      <c r="B22" s="35" t="s">
        <v>69</v>
      </c>
      <c r="C22" s="35" t="s">
        <v>70</v>
      </c>
      <c r="D22" s="34">
        <v>550252</v>
      </c>
      <c r="E22" s="35" t="s">
        <v>91</v>
      </c>
      <c r="F22" s="36">
        <f t="shared" si="0"/>
        <v>1925882</v>
      </c>
      <c r="G22" s="305"/>
    </row>
    <row r="23" spans="2:26" x14ac:dyDescent="0.2">
      <c r="B23" s="35" t="s">
        <v>74</v>
      </c>
      <c r="C23" s="35" t="s">
        <v>75</v>
      </c>
      <c r="D23" s="34">
        <v>423275</v>
      </c>
      <c r="E23" s="35" t="s">
        <v>91</v>
      </c>
      <c r="F23" s="36">
        <f t="shared" si="0"/>
        <v>1481462.5</v>
      </c>
      <c r="G23" s="305"/>
    </row>
    <row r="24" spans="2:26" x14ac:dyDescent="0.2">
      <c r="B24" s="35" t="s">
        <v>79</v>
      </c>
      <c r="C24" s="35" t="s">
        <v>80</v>
      </c>
      <c r="D24" s="34">
        <v>313769</v>
      </c>
      <c r="E24" s="35" t="s">
        <v>91</v>
      </c>
      <c r="F24" s="36">
        <f t="shared" si="0"/>
        <v>1098191.5</v>
      </c>
      <c r="G24" s="305"/>
    </row>
    <row r="25" spans="2:26" x14ac:dyDescent="0.2">
      <c r="B25" s="31" t="s">
        <v>82</v>
      </c>
      <c r="C25" s="31" t="s">
        <v>83</v>
      </c>
      <c r="D25" s="34">
        <v>313769</v>
      </c>
      <c r="E25" s="35" t="s">
        <v>91</v>
      </c>
      <c r="F25" s="36">
        <f t="shared" si="0"/>
        <v>1098191.5</v>
      </c>
      <c r="G25" s="305"/>
    </row>
    <row r="26" spans="2:26" x14ac:dyDescent="0.2">
      <c r="B26" s="31" t="s">
        <v>85</v>
      </c>
      <c r="C26" s="31" t="s">
        <v>86</v>
      </c>
      <c r="D26" s="34">
        <v>313769</v>
      </c>
      <c r="E26" s="35" t="s">
        <v>91</v>
      </c>
      <c r="F26" s="36">
        <f t="shared" si="0"/>
        <v>1098191.5</v>
      </c>
      <c r="G26" s="306"/>
    </row>
    <row r="27" spans="2:26" s="7" customFormat="1" x14ac:dyDescent="0.2">
      <c r="B27" s="43"/>
      <c r="C27" s="43"/>
      <c r="D27" s="44"/>
      <c r="E27" s="45"/>
      <c r="F27" s="46"/>
      <c r="G27" s="39"/>
    </row>
    <row r="28" spans="2:26" s="7" customFormat="1" x14ac:dyDescent="0.2">
      <c r="B28" s="43"/>
      <c r="C28" s="43"/>
      <c r="D28" s="44"/>
      <c r="E28" s="45"/>
      <c r="F28" s="46"/>
      <c r="G28" s="39"/>
    </row>
    <row r="29" spans="2:26" s="7" customFormat="1" x14ac:dyDescent="0.2">
      <c r="B29" s="29" t="s">
        <v>98</v>
      </c>
      <c r="C29" s="29" t="s">
        <v>99</v>
      </c>
    </row>
    <row r="30" spans="2:26" x14ac:dyDescent="0.2">
      <c r="B30" s="47" t="s">
        <v>92</v>
      </c>
      <c r="C30" s="48">
        <v>6000000</v>
      </c>
      <c r="D30" s="7"/>
      <c r="E30" s="7"/>
      <c r="F30" s="7"/>
    </row>
    <row r="31" spans="2:26" x14ac:dyDescent="0.2">
      <c r="B31" s="47" t="s">
        <v>93</v>
      </c>
      <c r="C31" s="48">
        <v>5000000</v>
      </c>
      <c r="D31" s="7"/>
      <c r="E31" s="7"/>
      <c r="F31" s="7"/>
    </row>
    <row r="32" spans="2:26" x14ac:dyDescent="0.2">
      <c r="B32" s="47" t="s">
        <v>132</v>
      </c>
      <c r="C32" s="48">
        <v>1000000</v>
      </c>
      <c r="D32" s="7"/>
      <c r="E32" s="7"/>
      <c r="F32" s="7"/>
    </row>
    <row r="33" spans="2:6" x14ac:dyDescent="0.2">
      <c r="B33" s="47" t="s">
        <v>133</v>
      </c>
      <c r="C33" s="48">
        <v>3000000</v>
      </c>
      <c r="D33" s="7"/>
      <c r="E33" s="7"/>
      <c r="F33" s="7"/>
    </row>
    <row r="34" spans="2:6" x14ac:dyDescent="0.2">
      <c r="B34" s="47" t="s">
        <v>136</v>
      </c>
      <c r="C34" s="48">
        <v>3300</v>
      </c>
      <c r="D34" s="7"/>
      <c r="E34" s="7"/>
      <c r="F34" s="7"/>
    </row>
    <row r="35" spans="2:6" x14ac:dyDescent="0.2">
      <c r="B35" s="66"/>
      <c r="C35" s="67"/>
      <c r="D35" s="7"/>
      <c r="E35" s="7"/>
      <c r="F35" s="7"/>
    </row>
    <row r="36" spans="2:6" x14ac:dyDescent="0.2">
      <c r="B36" s="66"/>
      <c r="C36" s="67"/>
      <c r="D36" s="7"/>
      <c r="E36" s="7"/>
      <c r="F36" s="7"/>
    </row>
    <row r="37" spans="2:6" x14ac:dyDescent="0.2">
      <c r="B37" s="66"/>
      <c r="C37" s="67"/>
      <c r="D37" s="7"/>
      <c r="E37" s="7"/>
      <c r="F37" s="7"/>
    </row>
    <row r="38" spans="2:6" x14ac:dyDescent="0.2">
      <c r="B38" s="66"/>
      <c r="C38" s="67"/>
      <c r="D38" s="7"/>
      <c r="E38" s="7"/>
      <c r="F38" s="7"/>
    </row>
    <row r="39" spans="2:6" x14ac:dyDescent="0.2">
      <c r="B39" s="66"/>
      <c r="C39" s="67"/>
      <c r="D39" s="7"/>
      <c r="E39" s="7"/>
      <c r="F39" s="7"/>
    </row>
    <row r="40" spans="2:6" x14ac:dyDescent="0.2">
      <c r="B40" s="66"/>
      <c r="C40" s="67"/>
      <c r="D40" s="7"/>
      <c r="E40" s="7"/>
      <c r="F40" s="7"/>
    </row>
    <row r="41" spans="2:6" x14ac:dyDescent="0.2">
      <c r="B41" s="66"/>
      <c r="C41" s="67"/>
      <c r="D41" s="7"/>
      <c r="E41" s="7"/>
      <c r="F41" s="7"/>
    </row>
    <row r="42" spans="2:6" x14ac:dyDescent="0.2">
      <c r="B42" s="66"/>
      <c r="C42" s="67"/>
      <c r="D42" s="7"/>
      <c r="E42" s="7"/>
      <c r="F42" s="7"/>
    </row>
    <row r="43" spans="2:6" x14ac:dyDescent="0.2">
      <c r="B43" s="66"/>
      <c r="C43" s="67"/>
      <c r="D43" s="7"/>
      <c r="E43" s="7"/>
      <c r="F43" s="7"/>
    </row>
    <row r="44" spans="2:6" x14ac:dyDescent="0.2">
      <c r="B44" s="66"/>
      <c r="C44" s="67"/>
      <c r="D44" s="7"/>
      <c r="E44" s="7"/>
      <c r="F44" s="7"/>
    </row>
    <row r="45" spans="2:6" s="7" customFormat="1" x14ac:dyDescent="0.2"/>
    <row r="46" spans="2:6" s="7" customFormat="1" x14ac:dyDescent="0.2"/>
    <row r="47" spans="2:6" s="7" customFormat="1" x14ac:dyDescent="0.2"/>
    <row r="48" spans="2:6" s="7" customFormat="1" ht="13.15" customHeight="1" x14ac:dyDescent="0.2">
      <c r="E48" s="37"/>
    </row>
    <row r="49" spans="2:6" s="7" customFormat="1" ht="31.15" customHeight="1" x14ac:dyDescent="0.2"/>
    <row r="50" spans="2:6" s="7" customFormat="1" x14ac:dyDescent="0.2"/>
    <row r="51" spans="2:6" s="7" customFormat="1" x14ac:dyDescent="0.2"/>
    <row r="52" spans="2:6" s="7" customFormat="1" x14ac:dyDescent="0.2"/>
    <row r="53" spans="2:6" s="7" customFormat="1" x14ac:dyDescent="0.2"/>
    <row r="54" spans="2:6" s="7" customFormat="1" x14ac:dyDescent="0.2"/>
    <row r="55" spans="2:6" s="7" customFormat="1" x14ac:dyDescent="0.2"/>
    <row r="56" spans="2:6" s="7" customFormat="1" x14ac:dyDescent="0.2"/>
    <row r="57" spans="2:6" s="7" customFormat="1" x14ac:dyDescent="0.2"/>
    <row r="58" spans="2:6" s="7" customFormat="1" x14ac:dyDescent="0.2"/>
    <row r="59" spans="2:6" s="7" customFormat="1" x14ac:dyDescent="0.2"/>
    <row r="60" spans="2:6" s="7" customFormat="1" x14ac:dyDescent="0.2"/>
    <row r="61" spans="2:6" s="7" customFormat="1" x14ac:dyDescent="0.2"/>
    <row r="62" spans="2:6" s="7" customFormat="1" x14ac:dyDescent="0.2"/>
    <row r="63" spans="2:6" s="7" customFormat="1" x14ac:dyDescent="0.2"/>
    <row r="64" spans="2:6" x14ac:dyDescent="0.2">
      <c r="B64" s="7"/>
      <c r="C64" s="7"/>
      <c r="D64" s="7"/>
      <c r="E64" s="7"/>
      <c r="F64" s="7"/>
    </row>
    <row r="65" spans="2:6" x14ac:dyDescent="0.2">
      <c r="B65" s="7"/>
      <c r="C65" s="7"/>
      <c r="D65" s="7"/>
      <c r="E65" s="7"/>
      <c r="F65" s="7"/>
    </row>
    <row r="66" spans="2:6" x14ac:dyDescent="0.2">
      <c r="B66" s="7"/>
      <c r="C66" s="7"/>
      <c r="D66" s="7"/>
      <c r="E66" s="7"/>
      <c r="F66" s="7"/>
    </row>
    <row r="67" spans="2:6" x14ac:dyDescent="0.2">
      <c r="B67" s="7"/>
      <c r="C67" s="7"/>
      <c r="D67" s="7"/>
      <c r="E67" s="7"/>
      <c r="F67" s="7"/>
    </row>
    <row r="68" spans="2:6" x14ac:dyDescent="0.2">
      <c r="B68" s="7"/>
      <c r="C68" s="7"/>
      <c r="D68" s="7"/>
      <c r="E68" s="7"/>
      <c r="F68" s="7"/>
    </row>
    <row r="69" spans="2:6" x14ac:dyDescent="0.2">
      <c r="B69" s="7"/>
      <c r="C69" s="7"/>
      <c r="D69" s="7"/>
      <c r="E69" s="7"/>
      <c r="F69" s="7"/>
    </row>
    <row r="70" spans="2:6" x14ac:dyDescent="0.2">
      <c r="B70" s="7"/>
      <c r="C70" s="7"/>
      <c r="D70" s="7"/>
      <c r="E70" s="7"/>
      <c r="F70" s="7"/>
    </row>
    <row r="71" spans="2:6" x14ac:dyDescent="0.2">
      <c r="B71" s="7"/>
      <c r="C71" s="7"/>
      <c r="D71" s="7"/>
      <c r="E71" s="7"/>
      <c r="F71" s="7"/>
    </row>
    <row r="72" spans="2:6" x14ac:dyDescent="0.2">
      <c r="B72" s="7"/>
      <c r="C72" s="7"/>
      <c r="D72" s="7"/>
      <c r="E72" s="7"/>
      <c r="F72" s="7"/>
    </row>
    <row r="73" spans="2:6" x14ac:dyDescent="0.2">
      <c r="B73" s="7"/>
      <c r="C73" s="7"/>
      <c r="D73" s="7"/>
      <c r="E73" s="7"/>
      <c r="F73" s="7"/>
    </row>
    <row r="74" spans="2:6" x14ac:dyDescent="0.2">
      <c r="B74" s="7"/>
      <c r="C74" s="7"/>
      <c r="D74" s="7"/>
      <c r="E74" s="7"/>
      <c r="F74" s="7"/>
    </row>
    <row r="75" spans="2:6" x14ac:dyDescent="0.2">
      <c r="B75" s="7"/>
      <c r="C75" s="7"/>
      <c r="D75" s="7"/>
      <c r="E75" s="7"/>
      <c r="F75" s="7"/>
    </row>
    <row r="76" spans="2:6" x14ac:dyDescent="0.2">
      <c r="B76" s="7"/>
      <c r="C76" s="7"/>
      <c r="D76" s="7"/>
      <c r="E76" s="7"/>
      <c r="F76" s="7"/>
    </row>
    <row r="77" spans="2:6" x14ac:dyDescent="0.2">
      <c r="B77" s="7"/>
      <c r="C77" s="7"/>
      <c r="D77" s="7"/>
      <c r="E77" s="7"/>
      <c r="F77" s="7"/>
    </row>
    <row r="78" spans="2:6" x14ac:dyDescent="0.2">
      <c r="B78" s="7"/>
      <c r="C78" s="7"/>
      <c r="D78" s="7"/>
      <c r="E78" s="7"/>
      <c r="F78" s="7"/>
    </row>
    <row r="79" spans="2:6" x14ac:dyDescent="0.2">
      <c r="B79" s="7"/>
      <c r="C79" s="7"/>
      <c r="D79" s="7"/>
      <c r="E79" s="7"/>
      <c r="F79" s="7"/>
    </row>
    <row r="80" spans="2:6" x14ac:dyDescent="0.2">
      <c r="B80" s="7"/>
      <c r="C80" s="7"/>
      <c r="D80" s="7"/>
      <c r="E80" s="7"/>
      <c r="F80" s="7"/>
    </row>
    <row r="81" spans="2:6" x14ac:dyDescent="0.2">
      <c r="B81" s="7"/>
      <c r="C81" s="7"/>
      <c r="D81" s="7"/>
      <c r="E81" s="7"/>
      <c r="F81" s="7"/>
    </row>
    <row r="82" spans="2:6" s="7" customFormat="1" x14ac:dyDescent="0.2"/>
    <row r="83" spans="2:6" s="7" customFormat="1" x14ac:dyDescent="0.2"/>
    <row r="84" spans="2:6" s="7" customFormat="1" x14ac:dyDescent="0.2"/>
    <row r="85" spans="2:6" s="7" customFormat="1" x14ac:dyDescent="0.2"/>
    <row r="86" spans="2:6" s="7" customFormat="1" x14ac:dyDescent="0.2"/>
    <row r="87" spans="2:6" s="7" customFormat="1" x14ac:dyDescent="0.2"/>
    <row r="88" spans="2:6" s="7" customFormat="1" x14ac:dyDescent="0.2"/>
    <row r="89" spans="2:6" s="7" customFormat="1" x14ac:dyDescent="0.2"/>
    <row r="90" spans="2:6" s="7" customFormat="1" x14ac:dyDescent="0.2"/>
    <row r="91" spans="2:6" s="7" customFormat="1" x14ac:dyDescent="0.2"/>
    <row r="92" spans="2:6" s="7" customFormat="1" x14ac:dyDescent="0.2"/>
    <row r="93" spans="2:6" s="7" customFormat="1" x14ac:dyDescent="0.2"/>
    <row r="94" spans="2:6" s="7" customFormat="1" x14ac:dyDescent="0.2"/>
    <row r="95" spans="2:6" s="7" customFormat="1" x14ac:dyDescent="0.2"/>
    <row r="96" spans="2: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sheetData>
  <sheetProtection algorithmName="SHA-512" hashValue="0q/sgfg6jkXStTsHbPJvl5CN8Fh6042xqhKQScxcc/s3yk0qa9pzi3V4IsjBbhV8x1tPXGK5NYyQqPn07h1PEw==" saltValue="R2EckXDFPu2P3SY4KZC0mw==" spinCount="100000" sheet="1" formatCells="0" formatColumns="0" formatRows="0" insertColumns="0" insertRows="0" insertHyperlinks="0" deleteColumns="0" deleteRows="0" sort="0" autoFilter="0" pivotTables="0"/>
  <mergeCells count="8">
    <mergeCell ref="G19:G26"/>
    <mergeCell ref="B4:B5"/>
    <mergeCell ref="C4:C5"/>
    <mergeCell ref="F9:F16"/>
    <mergeCell ref="I9:J9"/>
    <mergeCell ref="I11:J11"/>
    <mergeCell ref="I12:J12"/>
    <mergeCell ref="I10:J10"/>
  </mergeCells>
  <phoneticPr fontId="16" type="noConversion"/>
  <pageMargins left="0.7" right="0.7" top="0.75" bottom="0.75" header="0.3" footer="0.3"/>
  <pageSetup paperSize="9" scale="51" orientation="portrait" r:id="rId1"/>
  <colBreaks count="1" manualBreakCount="1">
    <brk id="11"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X39"/>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8" width="14.42578125" style="1" bestFit="1" customWidth="1"/>
    <col min="9" max="10" width="13.140625" style="1" bestFit="1" customWidth="1"/>
    <col min="11" max="11" width="14.42578125" style="1" bestFit="1" customWidth="1"/>
    <col min="12" max="13" width="11.42578125" style="1"/>
    <col min="14" max="14" width="14.42578125" style="1" bestFit="1" customWidth="1"/>
    <col min="15" max="16" width="11.42578125" style="1"/>
    <col min="17" max="17" width="14.42578125" style="1" bestFit="1" customWidth="1"/>
    <col min="18" max="19" width="11.42578125" style="1"/>
    <col min="20" max="20" width="14.42578125" style="1" bestFit="1" customWidth="1"/>
    <col min="21" max="21" width="13.42578125" style="1" bestFit="1" customWidth="1"/>
    <col min="22" max="22" width="11.42578125" style="1"/>
    <col min="23" max="23" width="14.8554687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detallado'!B79</f>
        <v>PROGRAMA 4. Recurso hídrico y sistemas de riego</v>
      </c>
    </row>
    <row r="5" spans="2:24" x14ac:dyDescent="0.25">
      <c r="B5" s="15" t="str">
        <f>+'Presupuesto detallado'!B90</f>
        <v>4.2. Mejoramiento de los distritos de riego que prestan el servicio para 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8" x14ac:dyDescent="0.25">
      <c r="B8" s="18" t="str">
        <f>+'Presupuesto detallado'!B91</f>
        <v xml:space="preserve">4.2.1. Desarrollo de una estrategia de participación de la cadena de arroz en el proceso de evaluación integral de los distritos de adecuación de tierras, que prestan servicio para el cultivo de arroz </v>
      </c>
      <c r="C8" s="19" t="s">
        <v>150</v>
      </c>
      <c r="D8" s="56"/>
      <c r="E8" s="56"/>
      <c r="F8" s="56"/>
      <c r="G8" s="116">
        <f>$H$18</f>
        <v>49629938.75</v>
      </c>
      <c r="H8" s="116">
        <f>$H$18</f>
        <v>49629938.75</v>
      </c>
      <c r="I8" s="116">
        <f>$H$18</f>
        <v>49629938.75</v>
      </c>
      <c r="J8" s="140" t="str">
        <f t="shared" ref="J8:V8" si="0">+$H$17</f>
        <v>Presupuesto relativo</v>
      </c>
      <c r="K8" s="140" t="str">
        <f t="shared" si="0"/>
        <v>Presupuesto relativo</v>
      </c>
      <c r="L8" s="140" t="str">
        <f t="shared" si="0"/>
        <v>Presupuesto relativo</v>
      </c>
      <c r="M8" s="140" t="str">
        <f t="shared" si="0"/>
        <v>Presupuesto relativo</v>
      </c>
      <c r="N8" s="140" t="str">
        <f t="shared" si="0"/>
        <v>Presupuesto relativo</v>
      </c>
      <c r="O8" s="140" t="str">
        <f t="shared" si="0"/>
        <v>Presupuesto relativo</v>
      </c>
      <c r="P8" s="140" t="str">
        <f t="shared" si="0"/>
        <v>Presupuesto relativo</v>
      </c>
      <c r="Q8" s="140" t="str">
        <f t="shared" si="0"/>
        <v>Presupuesto relativo</v>
      </c>
      <c r="R8" s="140" t="str">
        <f t="shared" si="0"/>
        <v>Presupuesto relativo</v>
      </c>
      <c r="S8" s="140" t="str">
        <f t="shared" si="0"/>
        <v>Presupuesto relativo</v>
      </c>
      <c r="T8" s="140" t="str">
        <f t="shared" si="0"/>
        <v>Presupuesto relativo</v>
      </c>
      <c r="U8" s="140" t="str">
        <f t="shared" si="0"/>
        <v>Presupuesto relativo</v>
      </c>
      <c r="V8" s="140" t="str">
        <f t="shared" si="0"/>
        <v>Presupuesto relativo</v>
      </c>
      <c r="W8" s="140">
        <f>SUM(D8:V8)</f>
        <v>148889816.25</v>
      </c>
    </row>
    <row r="9" spans="2:24" ht="48" x14ac:dyDescent="0.25">
      <c r="B9" s="18" t="str">
        <f>+'Presupuesto detallado'!B92</f>
        <v>4.2.2. Articulación, socialización y actualización de los mecanismos de evaluación de viabilidad de proyectos relacionados con la implementación de sistemas de riego, en regiones de producción de arroz</v>
      </c>
      <c r="C9" s="19" t="s">
        <v>437</v>
      </c>
      <c r="D9" s="56"/>
      <c r="E9" s="56"/>
      <c r="F9" s="56"/>
      <c r="G9" s="116"/>
      <c r="H9" s="116">
        <f>$H$23</f>
        <v>31649444.75</v>
      </c>
      <c r="I9" s="116">
        <f>$H$23</f>
        <v>31649444.75</v>
      </c>
      <c r="J9" s="116">
        <f>$H$23</f>
        <v>31649444.75</v>
      </c>
      <c r="K9" s="116">
        <f>$H$23</f>
        <v>31649444.75</v>
      </c>
      <c r="L9" s="56"/>
      <c r="M9" s="56"/>
      <c r="N9" s="116"/>
      <c r="O9" s="56"/>
      <c r="P9" s="56"/>
      <c r="Q9" s="116"/>
      <c r="R9" s="56"/>
      <c r="S9" s="56"/>
      <c r="T9" s="116"/>
      <c r="U9" s="116">
        <f>$H$23</f>
        <v>31649444.75</v>
      </c>
      <c r="V9" s="56"/>
      <c r="W9" s="140">
        <f>SUM(D9:V9)</f>
        <v>158247223.75</v>
      </c>
    </row>
    <row r="10" spans="2:24" ht="48" x14ac:dyDescent="0.25">
      <c r="B10" s="18" t="str">
        <f>+'Presupuesto detallado'!B93</f>
        <v>4.2.3. Desarrollo de un trabajo conjunto de la cadena de arroz, que promueva el fortalecimiento de la administración, operación y conservación de los distritos, que prestan servicio para el cultivo</v>
      </c>
      <c r="C10" s="19" t="s">
        <v>437</v>
      </c>
      <c r="D10" s="56"/>
      <c r="E10" s="56"/>
      <c r="F10" s="56"/>
      <c r="G10" s="117"/>
      <c r="H10" s="117">
        <f>+$H$32</f>
        <v>75629938.75</v>
      </c>
      <c r="I10" s="117">
        <f>+$H$32</f>
        <v>75629938.75</v>
      </c>
      <c r="J10" s="117">
        <f>+$H$32</f>
        <v>75629938.75</v>
      </c>
      <c r="K10" s="117">
        <f>+$H$32</f>
        <v>75629938.75</v>
      </c>
      <c r="L10" s="18"/>
      <c r="M10" s="18"/>
      <c r="N10" s="117"/>
      <c r="O10" s="18"/>
      <c r="P10" s="18"/>
      <c r="Q10" s="117"/>
      <c r="R10" s="18"/>
      <c r="S10" s="18"/>
      <c r="T10" s="117"/>
      <c r="U10" s="117">
        <f>+$H$32</f>
        <v>75629938.75</v>
      </c>
      <c r="V10" s="56"/>
      <c r="W10" s="140">
        <f>SUM(D10:V10)</f>
        <v>378149693.75</v>
      </c>
    </row>
    <row r="11" spans="2:24" ht="72" x14ac:dyDescent="0.25">
      <c r="B11" s="18" t="str">
        <f>+'Presupuesto detallado'!B94</f>
        <v>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v>
      </c>
      <c r="C11" s="19" t="s">
        <v>437</v>
      </c>
      <c r="D11" s="56"/>
      <c r="E11" s="56"/>
      <c r="F11" s="56"/>
      <c r="G11" s="116"/>
      <c r="H11" s="116">
        <f>$H$39</f>
        <v>49629938.75</v>
      </c>
      <c r="I11" s="116">
        <f>$H$39</f>
        <v>49629938.75</v>
      </c>
      <c r="J11" s="116">
        <f>$H$39</f>
        <v>49629938.75</v>
      </c>
      <c r="K11" s="116">
        <f>$H$39</f>
        <v>49629938.75</v>
      </c>
      <c r="L11" s="56"/>
      <c r="M11" s="56"/>
      <c r="N11" s="116"/>
      <c r="O11" s="56"/>
      <c r="P11" s="56"/>
      <c r="Q11" s="116"/>
      <c r="R11" s="56"/>
      <c r="S11" s="56"/>
      <c r="T11" s="116"/>
      <c r="U11" s="116">
        <f>$H$39</f>
        <v>49629938.75</v>
      </c>
      <c r="V11" s="56"/>
      <c r="W11" s="140">
        <f>SUM(D11:V11)</f>
        <v>248149693.75</v>
      </c>
    </row>
    <row r="12" spans="2:24" ht="24" customHeight="1" x14ac:dyDescent="0.25">
      <c r="W12" s="156">
        <f>SUM(W8:W11)</f>
        <v>933436427.5</v>
      </c>
    </row>
    <row r="13" spans="2:24" x14ac:dyDescent="0.25">
      <c r="B13" s="13" t="s">
        <v>291</v>
      </c>
      <c r="C13" s="13" t="s">
        <v>40</v>
      </c>
      <c r="D13" s="13" t="s">
        <v>41</v>
      </c>
      <c r="E13" s="13" t="s">
        <v>42</v>
      </c>
      <c r="F13" s="13" t="s">
        <v>43</v>
      </c>
      <c r="G13" s="13" t="s">
        <v>554</v>
      </c>
      <c r="H13" s="13" t="s">
        <v>44</v>
      </c>
      <c r="W13" s="156">
        <f>+'Presupuesto detallado'!V90</f>
        <v>933436427.5</v>
      </c>
    </row>
    <row r="14" spans="2:24" x14ac:dyDescent="0.25">
      <c r="B14" s="14" t="s">
        <v>101</v>
      </c>
      <c r="C14" s="21">
        <v>1</v>
      </c>
      <c r="D14" s="14" t="s">
        <v>230</v>
      </c>
      <c r="E14" s="49">
        <f>+Parámetros!D11</f>
        <v>11508889</v>
      </c>
      <c r="F14" s="23">
        <v>11</v>
      </c>
      <c r="G14" s="118">
        <v>0.25</v>
      </c>
      <c r="H14" s="57">
        <f>E14*F14*G14</f>
        <v>31649444.75</v>
      </c>
      <c r="W14" s="220">
        <f>+W12-W13</f>
        <v>0</v>
      </c>
    </row>
    <row r="15" spans="2:24" x14ac:dyDescent="0.25">
      <c r="B15" s="14" t="s">
        <v>193</v>
      </c>
      <c r="C15" s="21">
        <v>6</v>
      </c>
      <c r="D15" s="14" t="s">
        <v>194</v>
      </c>
      <c r="E15" s="49">
        <f>+Parámetros!C32</f>
        <v>1000000</v>
      </c>
      <c r="F15" s="23"/>
      <c r="G15" s="23"/>
      <c r="H15" s="57">
        <f>C15*E15</f>
        <v>6000000</v>
      </c>
    </row>
    <row r="16" spans="2:24" x14ac:dyDescent="0.25">
      <c r="B16" s="14" t="s">
        <v>45</v>
      </c>
      <c r="C16" s="21">
        <v>18</v>
      </c>
      <c r="D16" s="14" t="s">
        <v>553</v>
      </c>
      <c r="E16" s="49">
        <f>+Parámetros!D21</f>
        <v>665583</v>
      </c>
      <c r="F16" s="23"/>
      <c r="G16" s="23"/>
      <c r="H16" s="57">
        <f>C16*E16</f>
        <v>11980494</v>
      </c>
    </row>
    <row r="17" spans="2:8" ht="24" x14ac:dyDescent="0.25">
      <c r="B17" s="56" t="s">
        <v>438</v>
      </c>
      <c r="C17" s="21"/>
      <c r="D17" s="14"/>
      <c r="E17" s="49"/>
      <c r="F17" s="23"/>
      <c r="G17" s="23"/>
      <c r="H17" s="53" t="str">
        <f>+Parámetros!C4</f>
        <v>Presupuesto relativo</v>
      </c>
    </row>
    <row r="18" spans="2:8" x14ac:dyDescent="0.25">
      <c r="B18" s="102" t="s">
        <v>46</v>
      </c>
      <c r="C18" s="25"/>
      <c r="D18" s="14"/>
      <c r="E18" s="13"/>
      <c r="F18" s="13"/>
      <c r="G18" s="13"/>
      <c r="H18" s="26">
        <f>SUM(H14:H17)</f>
        <v>49629938.75</v>
      </c>
    </row>
    <row r="19" spans="2:8" x14ac:dyDescent="0.25">
      <c r="B19" s="5"/>
      <c r="C19" s="5"/>
      <c r="D19" s="5"/>
      <c r="E19" s="5"/>
      <c r="F19" s="5"/>
      <c r="G19" s="5"/>
      <c r="H19" s="5"/>
    </row>
    <row r="20" spans="2:8" x14ac:dyDescent="0.25">
      <c r="B20" s="5"/>
      <c r="C20" s="5"/>
      <c r="D20" s="5"/>
      <c r="E20" s="5"/>
      <c r="F20" s="5"/>
      <c r="G20" s="5"/>
      <c r="H20" s="5"/>
    </row>
    <row r="21" spans="2:8" x14ac:dyDescent="0.25">
      <c r="B21" s="13" t="s">
        <v>292</v>
      </c>
      <c r="C21" s="13" t="s">
        <v>40</v>
      </c>
      <c r="D21" s="13" t="s">
        <v>41</v>
      </c>
      <c r="E21" s="13" t="s">
        <v>42</v>
      </c>
      <c r="F21" s="13" t="s">
        <v>43</v>
      </c>
      <c r="G21" s="13" t="s">
        <v>554</v>
      </c>
      <c r="H21" s="13" t="s">
        <v>44</v>
      </c>
    </row>
    <row r="22" spans="2:8" x14ac:dyDescent="0.25">
      <c r="B22" s="14" t="s">
        <v>101</v>
      </c>
      <c r="C22" s="21">
        <v>1</v>
      </c>
      <c r="D22" s="14" t="s">
        <v>230</v>
      </c>
      <c r="E22" s="49">
        <f>+Parámetros!D11</f>
        <v>11508889</v>
      </c>
      <c r="F22" s="23">
        <v>11</v>
      </c>
      <c r="G22" s="118">
        <v>0.25</v>
      </c>
      <c r="H22" s="57">
        <f>E22*F22*G22</f>
        <v>31649444.75</v>
      </c>
    </row>
    <row r="23" spans="2:8" x14ac:dyDescent="0.25">
      <c r="B23" s="102" t="s">
        <v>46</v>
      </c>
      <c r="C23" s="25"/>
      <c r="D23" s="14"/>
      <c r="E23" s="13"/>
      <c r="F23" s="13"/>
      <c r="G23" s="13"/>
      <c r="H23" s="26">
        <f>SUM(H22:H22)</f>
        <v>31649444.75</v>
      </c>
    </row>
    <row r="24" spans="2:8" x14ac:dyDescent="0.25">
      <c r="B24" s="202"/>
      <c r="C24" s="90"/>
      <c r="D24" s="91"/>
      <c r="E24" s="92"/>
      <c r="F24" s="92"/>
      <c r="G24" s="92"/>
      <c r="H24" s="93"/>
    </row>
    <row r="26" spans="2:8" x14ac:dyDescent="0.25">
      <c r="B26" s="13" t="s">
        <v>293</v>
      </c>
      <c r="C26" s="13" t="s">
        <v>40</v>
      </c>
      <c r="D26" s="13" t="s">
        <v>41</v>
      </c>
      <c r="E26" s="13" t="s">
        <v>42</v>
      </c>
      <c r="F26" s="13" t="s">
        <v>43</v>
      </c>
      <c r="G26" s="13" t="s">
        <v>554</v>
      </c>
      <c r="H26" s="13" t="s">
        <v>44</v>
      </c>
    </row>
    <row r="27" spans="2:8" x14ac:dyDescent="0.25">
      <c r="B27" s="14" t="s">
        <v>101</v>
      </c>
      <c r="C27" s="21">
        <v>1</v>
      </c>
      <c r="D27" s="14" t="s">
        <v>230</v>
      </c>
      <c r="E27" s="49">
        <f>+Parámetros!D11</f>
        <v>11508889</v>
      </c>
      <c r="F27" s="23">
        <v>11</v>
      </c>
      <c r="G27" s="118">
        <v>0.25</v>
      </c>
      <c r="H27" s="57">
        <f>E27*F27*G27</f>
        <v>31649444.75</v>
      </c>
    </row>
    <row r="28" spans="2:8" x14ac:dyDescent="0.25">
      <c r="B28" s="14" t="s">
        <v>193</v>
      </c>
      <c r="C28" s="21">
        <v>6</v>
      </c>
      <c r="D28" s="14" t="s">
        <v>194</v>
      </c>
      <c r="E28" s="49">
        <f>+Parámetros!C32</f>
        <v>1000000</v>
      </c>
      <c r="F28" s="23"/>
      <c r="G28" s="23"/>
      <c r="H28" s="57">
        <f>C28*E28</f>
        <v>6000000</v>
      </c>
    </row>
    <row r="29" spans="2:8" x14ac:dyDescent="0.25">
      <c r="B29" s="14" t="s">
        <v>45</v>
      </c>
      <c r="C29" s="21">
        <v>18</v>
      </c>
      <c r="D29" s="14" t="s">
        <v>553</v>
      </c>
      <c r="E29" s="49">
        <f>+Parámetros!D21</f>
        <v>665583</v>
      </c>
      <c r="F29" s="23"/>
      <c r="G29" s="23"/>
      <c r="H29" s="57">
        <f>C29*E29</f>
        <v>11980494</v>
      </c>
    </row>
    <row r="30" spans="2:8" x14ac:dyDescent="0.25">
      <c r="B30" s="14" t="s">
        <v>105</v>
      </c>
      <c r="C30" s="21">
        <v>4</v>
      </c>
      <c r="D30" s="14" t="s">
        <v>104</v>
      </c>
      <c r="E30" s="49">
        <v>5000000</v>
      </c>
      <c r="F30" s="23"/>
      <c r="G30" s="23"/>
      <c r="H30" s="57">
        <f>+C30*E30</f>
        <v>20000000</v>
      </c>
    </row>
    <row r="31" spans="2:8" x14ac:dyDescent="0.25">
      <c r="B31" s="14" t="s">
        <v>106</v>
      </c>
      <c r="C31" s="21">
        <v>2</v>
      </c>
      <c r="D31" s="14" t="s">
        <v>104</v>
      </c>
      <c r="E31" s="49">
        <v>3000000</v>
      </c>
      <c r="F31" s="23"/>
      <c r="G31" s="23"/>
      <c r="H31" s="57">
        <f>+C31*E31</f>
        <v>6000000</v>
      </c>
    </row>
    <row r="32" spans="2:8" x14ac:dyDescent="0.25">
      <c r="B32" s="102" t="s">
        <v>46</v>
      </c>
      <c r="C32" s="25"/>
      <c r="D32" s="14"/>
      <c r="E32" s="13"/>
      <c r="F32" s="13"/>
      <c r="G32" s="13"/>
      <c r="H32" s="26">
        <f>SUM(H27:H31)</f>
        <v>75629938.75</v>
      </c>
    </row>
    <row r="33" spans="2:8" x14ac:dyDescent="0.25">
      <c r="B33" s="202"/>
      <c r="C33" s="90"/>
      <c r="D33" s="91"/>
      <c r="E33" s="92"/>
      <c r="F33" s="92"/>
      <c r="G33" s="92"/>
      <c r="H33" s="93"/>
    </row>
    <row r="35" spans="2:8" x14ac:dyDescent="0.25">
      <c r="B35" s="13" t="s">
        <v>294</v>
      </c>
      <c r="C35" s="13" t="s">
        <v>40</v>
      </c>
      <c r="D35" s="13" t="s">
        <v>41</v>
      </c>
      <c r="E35" s="13" t="s">
        <v>42</v>
      </c>
      <c r="F35" s="13" t="s">
        <v>43</v>
      </c>
      <c r="G35" s="13" t="s">
        <v>554</v>
      </c>
      <c r="H35" s="13" t="s">
        <v>44</v>
      </c>
    </row>
    <row r="36" spans="2:8" x14ac:dyDescent="0.25">
      <c r="B36" s="14" t="s">
        <v>101</v>
      </c>
      <c r="C36" s="21">
        <v>1</v>
      </c>
      <c r="D36" s="14" t="s">
        <v>230</v>
      </c>
      <c r="E36" s="49">
        <f>+Parámetros!D11</f>
        <v>11508889</v>
      </c>
      <c r="F36" s="23">
        <v>11</v>
      </c>
      <c r="G36" s="118">
        <v>0.25</v>
      </c>
      <c r="H36" s="57">
        <f>E36*F36*G36</f>
        <v>31649444.75</v>
      </c>
    </row>
    <row r="37" spans="2:8" x14ac:dyDescent="0.25">
      <c r="B37" s="14" t="s">
        <v>193</v>
      </c>
      <c r="C37" s="21">
        <v>6</v>
      </c>
      <c r="D37" s="14" t="s">
        <v>194</v>
      </c>
      <c r="E37" s="49">
        <f>+Parámetros!C32</f>
        <v>1000000</v>
      </c>
      <c r="F37" s="23"/>
      <c r="G37" s="23"/>
      <c r="H37" s="57">
        <f>C37*E37</f>
        <v>6000000</v>
      </c>
    </row>
    <row r="38" spans="2:8" x14ac:dyDescent="0.25">
      <c r="B38" s="14" t="s">
        <v>45</v>
      </c>
      <c r="C38" s="21">
        <v>18</v>
      </c>
      <c r="D38" s="14" t="s">
        <v>553</v>
      </c>
      <c r="E38" s="49">
        <f>+Parámetros!D21</f>
        <v>665583</v>
      </c>
      <c r="F38" s="23"/>
      <c r="G38" s="23"/>
      <c r="H38" s="57">
        <f>C38*E38</f>
        <v>11980494</v>
      </c>
    </row>
    <row r="39" spans="2:8" x14ac:dyDescent="0.25">
      <c r="B39" s="102" t="s">
        <v>46</v>
      </c>
      <c r="C39" s="25"/>
      <c r="D39" s="14"/>
      <c r="E39" s="13"/>
      <c r="F39" s="13"/>
      <c r="G39" s="13"/>
      <c r="H39" s="26">
        <f>SUM(H36:H38)</f>
        <v>49629938.75</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X4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7" width="14.42578125" style="1" bestFit="1" customWidth="1"/>
    <col min="8" max="8" width="13.5703125" style="1" customWidth="1"/>
    <col min="9" max="9" width="11.42578125" style="1"/>
    <col min="10" max="10" width="14.42578125" style="1" bestFit="1" customWidth="1"/>
    <col min="11" max="12" width="11.42578125" style="1"/>
    <col min="13" max="13" width="14.42578125" style="1" bestFit="1" customWidth="1"/>
    <col min="14" max="15" width="11.42578125" style="1"/>
    <col min="16" max="16" width="14.42578125" style="1" bestFit="1" customWidth="1"/>
    <col min="17" max="18" width="11.42578125" style="1"/>
    <col min="19" max="19" width="13" style="1" bestFit="1" customWidth="1"/>
    <col min="20" max="22" width="11.42578125" style="1"/>
    <col min="23" max="23" width="14.710937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detallado'!B95</f>
        <v>PROGRAMA 5. Financiamiento</v>
      </c>
    </row>
    <row r="5" spans="2:24" x14ac:dyDescent="0.25">
      <c r="B5" s="15" t="str">
        <f>+'Presupuesto detallado'!B96</f>
        <v>5.1. Mejora del acceso de la cadena arrocera, al financiamiento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detallado'!B97</f>
        <v>5.1.1. Fortalecimiento de una estrategia para mejorar el acceso al financiamiento bancario y otras fuentes de financiamiento para el sector arrocero</v>
      </c>
      <c r="C8" s="19" t="s">
        <v>442</v>
      </c>
      <c r="D8" s="20"/>
      <c r="E8" s="20"/>
      <c r="F8" s="117">
        <f>H20</f>
        <v>158112712.59999999</v>
      </c>
      <c r="G8" s="117">
        <f>H20</f>
        <v>158112712.59999999</v>
      </c>
      <c r="H8" s="117" t="str">
        <f t="shared" ref="H8:Q8" si="0">+$H$19</f>
        <v>Presupuesto relativo</v>
      </c>
      <c r="I8" s="117" t="str">
        <f t="shared" si="0"/>
        <v>Presupuesto relativo</v>
      </c>
      <c r="J8" s="117" t="str">
        <f t="shared" si="0"/>
        <v>Presupuesto relativo</v>
      </c>
      <c r="K8" s="117" t="str">
        <f t="shared" si="0"/>
        <v>Presupuesto relativo</v>
      </c>
      <c r="L8" s="117" t="str">
        <f t="shared" si="0"/>
        <v>Presupuesto relativo</v>
      </c>
      <c r="M8" s="117" t="str">
        <f t="shared" si="0"/>
        <v>Presupuesto relativo</v>
      </c>
      <c r="N8" s="117" t="str">
        <f t="shared" si="0"/>
        <v>Presupuesto relativo</v>
      </c>
      <c r="O8" s="117" t="str">
        <f t="shared" si="0"/>
        <v>Presupuesto relativo</v>
      </c>
      <c r="P8" s="117" t="str">
        <f t="shared" si="0"/>
        <v>Presupuesto relativo</v>
      </c>
      <c r="Q8" s="117" t="str">
        <f t="shared" si="0"/>
        <v>Presupuesto relativo</v>
      </c>
      <c r="R8" s="117"/>
      <c r="S8" s="117"/>
      <c r="T8" s="117"/>
      <c r="U8" s="117"/>
      <c r="V8" s="117"/>
      <c r="W8" s="116">
        <f>SUM(D8:V8)</f>
        <v>316225425.19999999</v>
      </c>
    </row>
    <row r="9" spans="2:24" ht="36" x14ac:dyDescent="0.25">
      <c r="B9" s="18" t="str">
        <f>+'Presupuesto detallado'!B98</f>
        <v xml:space="preserve">5.1.2. Ampliación de la oferta de productos y servicios financieros especializados y enfocados a la cadena de arroz </v>
      </c>
      <c r="C9" s="19" t="s">
        <v>159</v>
      </c>
      <c r="D9" s="20"/>
      <c r="E9" s="20"/>
      <c r="F9" s="116">
        <f>H31</f>
        <v>119603579.59999999</v>
      </c>
      <c r="G9" s="116">
        <f>H31</f>
        <v>119603579.59999999</v>
      </c>
      <c r="H9" s="117" t="str">
        <f t="shared" ref="H9:V9" si="1">+$H$30</f>
        <v>Presupuesto relativo</v>
      </c>
      <c r="I9" s="117" t="str">
        <f t="shared" si="1"/>
        <v>Presupuesto relativo</v>
      </c>
      <c r="J9" s="117" t="str">
        <f t="shared" si="1"/>
        <v>Presupuesto relativo</v>
      </c>
      <c r="K9" s="117" t="str">
        <f t="shared" si="1"/>
        <v>Presupuesto relativo</v>
      </c>
      <c r="L9" s="117" t="str">
        <f t="shared" si="1"/>
        <v>Presupuesto relativo</v>
      </c>
      <c r="M9" s="117" t="str">
        <f t="shared" si="1"/>
        <v>Presupuesto relativo</v>
      </c>
      <c r="N9" s="117" t="str">
        <f t="shared" si="1"/>
        <v>Presupuesto relativo</v>
      </c>
      <c r="O9" s="117" t="str">
        <f t="shared" si="1"/>
        <v>Presupuesto relativo</v>
      </c>
      <c r="P9" s="117" t="str">
        <f t="shared" si="1"/>
        <v>Presupuesto relativo</v>
      </c>
      <c r="Q9" s="117" t="str">
        <f t="shared" si="1"/>
        <v>Presupuesto relativo</v>
      </c>
      <c r="R9" s="117" t="str">
        <f t="shared" si="1"/>
        <v>Presupuesto relativo</v>
      </c>
      <c r="S9" s="117" t="str">
        <f t="shared" si="1"/>
        <v>Presupuesto relativo</v>
      </c>
      <c r="T9" s="117" t="str">
        <f t="shared" si="1"/>
        <v>Presupuesto relativo</v>
      </c>
      <c r="U9" s="117" t="str">
        <f t="shared" si="1"/>
        <v>Presupuesto relativo</v>
      </c>
      <c r="V9" s="117" t="str">
        <f t="shared" si="1"/>
        <v>Presupuesto relativo</v>
      </c>
      <c r="W9" s="116">
        <f>SUM(D9:V9)</f>
        <v>239207159.19999999</v>
      </c>
    </row>
    <row r="10" spans="2:24" ht="48" x14ac:dyDescent="0.25">
      <c r="B10" s="18" t="str">
        <f>+'Presupuesto detallado'!B99</f>
        <v xml:space="preserve">5.1.3. Desarrollo de alternativas y mecanismos que se enfoquen en las  necesidades específicas de la cadena de arroz, tales como fortalecimiento de las garantías y manejo de la siniestralidad. </v>
      </c>
      <c r="C10" s="19" t="s">
        <v>159</v>
      </c>
      <c r="D10" s="20"/>
      <c r="E10" s="20"/>
      <c r="F10" s="116">
        <f>+H41</f>
        <v>55290610.799999997</v>
      </c>
      <c r="G10" s="116">
        <f>+H41</f>
        <v>55290610.799999997</v>
      </c>
      <c r="H10" s="117" t="str">
        <f t="shared" ref="H10:V10" si="2">+$H$40</f>
        <v>Presupuesto relativo</v>
      </c>
      <c r="I10" s="117" t="str">
        <f t="shared" si="2"/>
        <v>Presupuesto relativo</v>
      </c>
      <c r="J10" s="117" t="str">
        <f t="shared" si="2"/>
        <v>Presupuesto relativo</v>
      </c>
      <c r="K10" s="117" t="str">
        <f t="shared" si="2"/>
        <v>Presupuesto relativo</v>
      </c>
      <c r="L10" s="117" t="str">
        <f t="shared" si="2"/>
        <v>Presupuesto relativo</v>
      </c>
      <c r="M10" s="117" t="str">
        <f t="shared" si="2"/>
        <v>Presupuesto relativo</v>
      </c>
      <c r="N10" s="117" t="str">
        <f t="shared" si="2"/>
        <v>Presupuesto relativo</v>
      </c>
      <c r="O10" s="117" t="str">
        <f t="shared" si="2"/>
        <v>Presupuesto relativo</v>
      </c>
      <c r="P10" s="117" t="str">
        <f t="shared" si="2"/>
        <v>Presupuesto relativo</v>
      </c>
      <c r="Q10" s="117" t="str">
        <f t="shared" si="2"/>
        <v>Presupuesto relativo</v>
      </c>
      <c r="R10" s="117" t="str">
        <f t="shared" si="2"/>
        <v>Presupuesto relativo</v>
      </c>
      <c r="S10" s="117" t="str">
        <f t="shared" si="2"/>
        <v>Presupuesto relativo</v>
      </c>
      <c r="T10" s="117" t="str">
        <f t="shared" si="2"/>
        <v>Presupuesto relativo</v>
      </c>
      <c r="U10" s="117" t="str">
        <f t="shared" si="2"/>
        <v>Presupuesto relativo</v>
      </c>
      <c r="V10" s="117" t="str">
        <f t="shared" si="2"/>
        <v>Presupuesto relativo</v>
      </c>
      <c r="W10" s="116">
        <f>SUM(D10:V10)</f>
        <v>110581221.59999999</v>
      </c>
    </row>
    <row r="11" spans="2:24" x14ac:dyDescent="0.25">
      <c r="W11" s="156">
        <f>SUM(W8:W10)</f>
        <v>666013806</v>
      </c>
    </row>
    <row r="12" spans="2:24" x14ac:dyDescent="0.25">
      <c r="B12" s="13" t="s">
        <v>256</v>
      </c>
      <c r="C12" s="13" t="s">
        <v>40</v>
      </c>
      <c r="D12" s="13" t="s">
        <v>41</v>
      </c>
      <c r="E12" s="13" t="s">
        <v>42</v>
      </c>
      <c r="F12" s="13" t="s">
        <v>554</v>
      </c>
      <c r="G12" s="13" t="s">
        <v>43</v>
      </c>
      <c r="H12" s="13" t="s">
        <v>44</v>
      </c>
      <c r="W12" s="156">
        <f>+'Presupuesto detallado'!V96</f>
        <v>666013806</v>
      </c>
    </row>
    <row r="13" spans="2:24" x14ac:dyDescent="0.25">
      <c r="B13" s="14" t="s">
        <v>613</v>
      </c>
      <c r="C13" s="21">
        <v>1</v>
      </c>
      <c r="D13" s="14" t="s">
        <v>230</v>
      </c>
      <c r="E13" s="49">
        <f>+Parámetros!D10</f>
        <v>14456289</v>
      </c>
      <c r="F13" s="118">
        <v>0.4</v>
      </c>
      <c r="G13" s="23">
        <v>11</v>
      </c>
      <c r="H13" s="57">
        <f>E13*G13*C13*F13</f>
        <v>63607671.600000001</v>
      </c>
      <c r="W13" s="220">
        <f>+W11-W12</f>
        <v>0</v>
      </c>
    </row>
    <row r="14" spans="2:24" x14ac:dyDescent="0.25">
      <c r="B14" s="14" t="s">
        <v>557</v>
      </c>
      <c r="C14" s="21">
        <v>2</v>
      </c>
      <c r="D14" s="14" t="s">
        <v>230</v>
      </c>
      <c r="E14" s="49">
        <f>+Parámetros!D15</f>
        <v>6456206</v>
      </c>
      <c r="F14" s="118">
        <v>0.5</v>
      </c>
      <c r="G14" s="23">
        <v>11</v>
      </c>
      <c r="H14" s="57">
        <f>+C14*E14*G14*F14</f>
        <v>71018266</v>
      </c>
    </row>
    <row r="15" spans="2:24" x14ac:dyDescent="0.25">
      <c r="B15" s="14" t="s">
        <v>232</v>
      </c>
      <c r="C15" s="21">
        <v>2</v>
      </c>
      <c r="D15" s="14" t="s">
        <v>104</v>
      </c>
      <c r="E15" s="49">
        <v>3000000</v>
      </c>
      <c r="F15" s="49"/>
      <c r="G15" s="23"/>
      <c r="H15" s="57">
        <f>C15*E15</f>
        <v>6000000</v>
      </c>
    </row>
    <row r="16" spans="2:24" x14ac:dyDescent="0.25">
      <c r="B16" s="14" t="s">
        <v>233</v>
      </c>
      <c r="C16" s="21">
        <v>2</v>
      </c>
      <c r="D16" s="14" t="s">
        <v>104</v>
      </c>
      <c r="E16" s="49">
        <v>5000000</v>
      </c>
      <c r="F16" s="49"/>
      <c r="G16" s="23"/>
      <c r="H16" s="57">
        <f>C16*E16</f>
        <v>10000000</v>
      </c>
    </row>
    <row r="17" spans="2:8" x14ac:dyDescent="0.25">
      <c r="B17" s="14" t="s">
        <v>193</v>
      </c>
      <c r="C17" s="21">
        <v>2</v>
      </c>
      <c r="D17" s="14" t="s">
        <v>194</v>
      </c>
      <c r="E17" s="49">
        <f>+Parámetros!C32</f>
        <v>1000000</v>
      </c>
      <c r="F17" s="49"/>
      <c r="G17" s="23"/>
      <c r="H17" s="57">
        <f>C17*E17</f>
        <v>2000000</v>
      </c>
    </row>
    <row r="18" spans="2:8" x14ac:dyDescent="0.25">
      <c r="B18" s="14" t="s">
        <v>257</v>
      </c>
      <c r="C18" s="21">
        <v>2</v>
      </c>
      <c r="D18" s="54" t="s">
        <v>195</v>
      </c>
      <c r="E18" s="49">
        <f>+Parámetros!F20</f>
        <v>2743387.5</v>
      </c>
      <c r="F18" s="49"/>
      <c r="G18" s="23"/>
      <c r="H18" s="57">
        <f>C18*E18</f>
        <v>5486775</v>
      </c>
    </row>
    <row r="19" spans="2:8" ht="24" x14ac:dyDescent="0.25">
      <c r="B19" s="56" t="s">
        <v>258</v>
      </c>
      <c r="C19" s="21"/>
      <c r="D19" s="54"/>
      <c r="E19" s="49"/>
      <c r="F19" s="49"/>
      <c r="G19" s="23"/>
      <c r="H19" s="53" t="s">
        <v>118</v>
      </c>
    </row>
    <row r="20" spans="2:8" ht="14.25" customHeight="1" x14ac:dyDescent="0.25">
      <c r="B20" s="24" t="s">
        <v>46</v>
      </c>
      <c r="C20" s="25"/>
      <c r="D20" s="14"/>
      <c r="E20" s="13"/>
      <c r="F20" s="13"/>
      <c r="G20" s="13"/>
      <c r="H20" s="26">
        <f>SUM(H13:H19)</f>
        <v>158112712.59999999</v>
      </c>
    </row>
    <row r="21" spans="2:8" x14ac:dyDescent="0.25">
      <c r="B21" s="5"/>
      <c r="C21" s="5"/>
      <c r="D21" s="5"/>
      <c r="E21" s="5"/>
      <c r="F21" s="5"/>
      <c r="G21" s="5"/>
      <c r="H21" s="5"/>
    </row>
    <row r="22" spans="2:8" x14ac:dyDescent="0.25">
      <c r="B22" s="5"/>
      <c r="C22" s="5"/>
      <c r="D22" s="5"/>
      <c r="E22" s="5"/>
      <c r="F22" s="5"/>
      <c r="G22" s="5"/>
      <c r="H22" s="5"/>
    </row>
    <row r="23" spans="2:8" x14ac:dyDescent="0.25">
      <c r="B23" s="13" t="s">
        <v>259</v>
      </c>
      <c r="C23" s="13" t="s">
        <v>40</v>
      </c>
      <c r="D23" s="13" t="s">
        <v>41</v>
      </c>
      <c r="E23" s="13" t="s">
        <v>42</v>
      </c>
      <c r="F23" s="13" t="s">
        <v>554</v>
      </c>
      <c r="G23" s="13" t="s">
        <v>43</v>
      </c>
      <c r="H23" s="13" t="s">
        <v>44</v>
      </c>
    </row>
    <row r="24" spans="2:8" x14ac:dyDescent="0.25">
      <c r="B24" s="14" t="s">
        <v>614</v>
      </c>
      <c r="C24" s="21">
        <v>1</v>
      </c>
      <c r="D24" s="14" t="s">
        <v>230</v>
      </c>
      <c r="E24" s="49">
        <f>+Parámetros!D10</f>
        <v>14456289</v>
      </c>
      <c r="F24" s="118">
        <v>0.4</v>
      </c>
      <c r="G24" s="23">
        <v>11</v>
      </c>
      <c r="H24" s="57">
        <f>E24*G24*F24</f>
        <v>63607671.600000001</v>
      </c>
    </row>
    <row r="25" spans="2:8" x14ac:dyDescent="0.25">
      <c r="B25" s="14" t="s">
        <v>557</v>
      </c>
      <c r="C25" s="21">
        <v>1</v>
      </c>
      <c r="D25" s="14" t="s">
        <v>230</v>
      </c>
      <c r="E25" s="49">
        <f>+Parámetros!D15</f>
        <v>6456206</v>
      </c>
      <c r="F25" s="118">
        <v>0.5</v>
      </c>
      <c r="G25" s="23">
        <v>11</v>
      </c>
      <c r="H25" s="57">
        <f>+C25*E25*G25*F25</f>
        <v>35509133</v>
      </c>
    </row>
    <row r="26" spans="2:8" x14ac:dyDescent="0.25">
      <c r="B26" s="14" t="s">
        <v>232</v>
      </c>
      <c r="C26" s="21">
        <v>1</v>
      </c>
      <c r="D26" s="14" t="s">
        <v>104</v>
      </c>
      <c r="E26" s="49">
        <v>3000000</v>
      </c>
      <c r="F26" s="49"/>
      <c r="G26" s="23"/>
      <c r="H26" s="57">
        <f>C26*E26</f>
        <v>3000000</v>
      </c>
    </row>
    <row r="27" spans="2:8" x14ac:dyDescent="0.25">
      <c r="B27" s="14" t="s">
        <v>233</v>
      </c>
      <c r="C27" s="21">
        <v>2</v>
      </c>
      <c r="D27" s="14" t="s">
        <v>104</v>
      </c>
      <c r="E27" s="49">
        <v>5000000</v>
      </c>
      <c r="F27" s="49"/>
      <c r="G27" s="23"/>
      <c r="H27" s="57">
        <f>C27*E27</f>
        <v>10000000</v>
      </c>
    </row>
    <row r="28" spans="2:8" x14ac:dyDescent="0.25">
      <c r="B28" s="14" t="s">
        <v>193</v>
      </c>
      <c r="C28" s="21">
        <v>2</v>
      </c>
      <c r="D28" s="14" t="s">
        <v>194</v>
      </c>
      <c r="E28" s="49">
        <f>+Parámetros!C32</f>
        <v>1000000</v>
      </c>
      <c r="F28" s="49"/>
      <c r="G28" s="23"/>
      <c r="H28" s="57">
        <f>C28*E28</f>
        <v>2000000</v>
      </c>
    </row>
    <row r="29" spans="2:8" x14ac:dyDescent="0.25">
      <c r="B29" s="14" t="s">
        <v>257</v>
      </c>
      <c r="C29" s="21">
        <v>2</v>
      </c>
      <c r="D29" s="54" t="s">
        <v>195</v>
      </c>
      <c r="E29" s="49">
        <f>+Parámetros!F20</f>
        <v>2743387.5</v>
      </c>
      <c r="F29" s="49"/>
      <c r="G29" s="23"/>
      <c r="H29" s="57">
        <f>C29*E29</f>
        <v>5486775</v>
      </c>
    </row>
    <row r="30" spans="2:8" ht="24" x14ac:dyDescent="0.25">
      <c r="B30" s="56" t="s">
        <v>443</v>
      </c>
      <c r="C30" s="21"/>
      <c r="D30" s="54"/>
      <c r="E30" s="49"/>
      <c r="F30" s="49"/>
      <c r="G30" s="23"/>
      <c r="H30" s="53" t="str">
        <f>+Parámetros!C4</f>
        <v>Presupuesto relativo</v>
      </c>
    </row>
    <row r="31" spans="2:8" x14ac:dyDescent="0.25">
      <c r="B31" s="24" t="s">
        <v>46</v>
      </c>
      <c r="C31" s="25"/>
      <c r="D31" s="14"/>
      <c r="E31" s="13"/>
      <c r="F31" s="13"/>
      <c r="G31" s="13"/>
      <c r="H31" s="26">
        <f>SUM(H24:H30)</f>
        <v>119603579.59999999</v>
      </c>
    </row>
    <row r="33" spans="2:8" x14ac:dyDescent="0.25">
      <c r="B33" s="5"/>
      <c r="C33" s="5"/>
      <c r="D33" s="5"/>
      <c r="E33" s="5"/>
      <c r="F33" s="5"/>
      <c r="G33" s="5"/>
    </row>
    <row r="34" spans="2:8" x14ac:dyDescent="0.25">
      <c r="B34" s="13" t="s">
        <v>303</v>
      </c>
      <c r="C34" s="13" t="s">
        <v>40</v>
      </c>
      <c r="D34" s="13" t="s">
        <v>41</v>
      </c>
      <c r="E34" s="13" t="s">
        <v>42</v>
      </c>
      <c r="F34" s="13" t="s">
        <v>554</v>
      </c>
      <c r="G34" s="13" t="s">
        <v>43</v>
      </c>
      <c r="H34" s="13" t="s">
        <v>44</v>
      </c>
    </row>
    <row r="35" spans="2:8" x14ac:dyDescent="0.25">
      <c r="B35" s="14" t="s">
        <v>613</v>
      </c>
      <c r="C35" s="21">
        <v>1</v>
      </c>
      <c r="D35" s="14" t="s">
        <v>230</v>
      </c>
      <c r="E35" s="49">
        <f>+Parámetros!D10</f>
        <v>14456289</v>
      </c>
      <c r="F35" s="118">
        <v>0.2</v>
      </c>
      <c r="G35" s="23">
        <v>11</v>
      </c>
      <c r="H35" s="57">
        <f>E35*G35*F35</f>
        <v>31803835.800000001</v>
      </c>
    </row>
    <row r="36" spans="2:8" x14ac:dyDescent="0.25">
      <c r="B36" s="14" t="s">
        <v>232</v>
      </c>
      <c r="C36" s="21">
        <v>2</v>
      </c>
      <c r="D36" s="14" t="s">
        <v>104</v>
      </c>
      <c r="E36" s="49">
        <v>3000000</v>
      </c>
      <c r="F36" s="118"/>
      <c r="G36" s="23"/>
      <c r="H36" s="57">
        <f>C36*E36</f>
        <v>6000000</v>
      </c>
    </row>
    <row r="37" spans="2:8" x14ac:dyDescent="0.25">
      <c r="B37" s="14" t="s">
        <v>233</v>
      </c>
      <c r="C37" s="21">
        <v>2</v>
      </c>
      <c r="D37" s="14" t="s">
        <v>104</v>
      </c>
      <c r="E37" s="49">
        <v>5000000</v>
      </c>
      <c r="F37" s="49"/>
      <c r="G37" s="23"/>
      <c r="H37" s="57">
        <f>C37*E37</f>
        <v>10000000</v>
      </c>
    </row>
    <row r="38" spans="2:8" x14ac:dyDescent="0.25">
      <c r="B38" s="14" t="s">
        <v>193</v>
      </c>
      <c r="C38" s="21">
        <v>2</v>
      </c>
      <c r="D38" s="14" t="s">
        <v>194</v>
      </c>
      <c r="E38" s="49">
        <f>+Parámetros!C32</f>
        <v>1000000</v>
      </c>
      <c r="F38" s="49"/>
      <c r="G38" s="23"/>
      <c r="H38" s="57">
        <f>C38*E38</f>
        <v>2000000</v>
      </c>
    </row>
    <row r="39" spans="2:8" x14ac:dyDescent="0.25">
      <c r="B39" s="14" t="s">
        <v>257</v>
      </c>
      <c r="C39" s="21">
        <v>2</v>
      </c>
      <c r="D39" s="54" t="s">
        <v>195</v>
      </c>
      <c r="E39" s="49">
        <f>+Parámetros!F20</f>
        <v>2743387.5</v>
      </c>
      <c r="F39" s="49"/>
      <c r="G39" s="23"/>
      <c r="H39" s="57">
        <f>C39*E39</f>
        <v>5486775</v>
      </c>
    </row>
    <row r="40" spans="2:8" ht="24" x14ac:dyDescent="0.25">
      <c r="B40" s="56" t="s">
        <v>444</v>
      </c>
      <c r="C40" s="21"/>
      <c r="D40" s="54"/>
      <c r="E40" s="49"/>
      <c r="F40" s="49"/>
      <c r="G40" s="23"/>
      <c r="H40" s="53" t="str">
        <f>+Parámetros!C4</f>
        <v>Presupuesto relativo</v>
      </c>
    </row>
    <row r="41" spans="2:8" x14ac:dyDescent="0.25">
      <c r="B41" s="139" t="s">
        <v>46</v>
      </c>
      <c r="C41" s="25"/>
      <c r="D41" s="14"/>
      <c r="E41" s="13"/>
      <c r="F41" s="49"/>
      <c r="G41" s="13"/>
      <c r="H41" s="26">
        <f>SUM(H35:H40)</f>
        <v>55290610.799999997</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X38"/>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6" width="14" style="1" bestFit="1" customWidth="1"/>
    <col min="7" max="7" width="13.85546875" style="1" bestFit="1" customWidth="1"/>
    <col min="8" max="8" width="14.5703125" style="1" customWidth="1"/>
    <col min="9" max="22" width="13" style="1" bestFit="1" customWidth="1"/>
    <col min="23" max="23" width="15.57031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detallado'!B95</f>
        <v>PROGRAMA 5. Financiamiento</v>
      </c>
    </row>
    <row r="5" spans="2:24" x14ac:dyDescent="0.25">
      <c r="B5" s="15" t="str">
        <f>+'Presupuesto detallado'!B100</f>
        <v>5.2. Promoción de los instrumentos financieros de mitigación de riesgos,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detallado'!B101</f>
        <v>5.2.1. Manejo de los riesgos con enfoque integral (mecanismos de transferencia de riesgos) en el marco de la estrategia 360 grados</v>
      </c>
      <c r="C8" s="19" t="s">
        <v>119</v>
      </c>
      <c r="D8" s="20"/>
      <c r="E8" s="117">
        <f>+G18</f>
        <v>152554684</v>
      </c>
      <c r="F8" s="117">
        <f>+G18</f>
        <v>152554684</v>
      </c>
      <c r="G8" s="117">
        <f>G18</f>
        <v>152554684</v>
      </c>
      <c r="H8" s="117" t="str">
        <f t="shared" ref="H8:V8" si="0">+$G$17</f>
        <v>Presupuesto relativo</v>
      </c>
      <c r="I8" s="117" t="str">
        <f t="shared" si="0"/>
        <v>Presupuesto relativo</v>
      </c>
      <c r="J8" s="117" t="str">
        <f t="shared" si="0"/>
        <v>Presupuesto relativo</v>
      </c>
      <c r="K8" s="117" t="str">
        <f t="shared" si="0"/>
        <v>Presupuesto relativo</v>
      </c>
      <c r="L8" s="117" t="str">
        <f t="shared" si="0"/>
        <v>Presupuesto relativo</v>
      </c>
      <c r="M8" s="117" t="str">
        <f t="shared" si="0"/>
        <v>Presupuesto relativo</v>
      </c>
      <c r="N8" s="117" t="str">
        <f t="shared" si="0"/>
        <v>Presupuesto relativo</v>
      </c>
      <c r="O8" s="117" t="str">
        <f t="shared" si="0"/>
        <v>Presupuesto relativo</v>
      </c>
      <c r="P8" s="117" t="str">
        <f t="shared" si="0"/>
        <v>Presupuesto relativo</v>
      </c>
      <c r="Q8" s="117" t="str">
        <f t="shared" si="0"/>
        <v>Presupuesto relativo</v>
      </c>
      <c r="R8" s="117" t="str">
        <f t="shared" si="0"/>
        <v>Presupuesto relativo</v>
      </c>
      <c r="S8" s="117" t="str">
        <f t="shared" si="0"/>
        <v>Presupuesto relativo</v>
      </c>
      <c r="T8" s="117" t="str">
        <f t="shared" si="0"/>
        <v>Presupuesto relativo</v>
      </c>
      <c r="U8" s="117" t="str">
        <f t="shared" si="0"/>
        <v>Presupuesto relativo</v>
      </c>
      <c r="V8" s="117" t="str">
        <f t="shared" si="0"/>
        <v>Presupuesto relativo</v>
      </c>
      <c r="W8" s="117">
        <f>SUM(D8:V8)</f>
        <v>457664052</v>
      </c>
    </row>
    <row r="9" spans="2:24" ht="24" x14ac:dyDescent="0.25">
      <c r="B9" s="18" t="str">
        <f>+'Presupuesto detallado'!B102</f>
        <v xml:space="preserve">5.2.2. Promoción de la educación financiera para la toma de decisiones  </v>
      </c>
      <c r="C9" s="19" t="s">
        <v>150</v>
      </c>
      <c r="D9" s="20"/>
      <c r="E9" s="117">
        <f>+$G$33</f>
        <v>555569804</v>
      </c>
      <c r="F9" s="117">
        <f t="shared" ref="F9:V9" si="1">+$G$33</f>
        <v>555569804</v>
      </c>
      <c r="G9" s="117">
        <f t="shared" si="1"/>
        <v>555569804</v>
      </c>
      <c r="H9" s="117">
        <f t="shared" si="1"/>
        <v>555569804</v>
      </c>
      <c r="I9" s="117">
        <f t="shared" si="1"/>
        <v>555569804</v>
      </c>
      <c r="J9" s="117">
        <f t="shared" si="1"/>
        <v>555569804</v>
      </c>
      <c r="K9" s="117">
        <f t="shared" si="1"/>
        <v>555569804</v>
      </c>
      <c r="L9" s="117">
        <f t="shared" si="1"/>
        <v>555569804</v>
      </c>
      <c r="M9" s="117">
        <f t="shared" si="1"/>
        <v>555569804</v>
      </c>
      <c r="N9" s="117">
        <f t="shared" si="1"/>
        <v>555569804</v>
      </c>
      <c r="O9" s="117">
        <f t="shared" si="1"/>
        <v>555569804</v>
      </c>
      <c r="P9" s="117">
        <f t="shared" si="1"/>
        <v>555569804</v>
      </c>
      <c r="Q9" s="117">
        <f t="shared" si="1"/>
        <v>555569804</v>
      </c>
      <c r="R9" s="117">
        <f t="shared" si="1"/>
        <v>555569804</v>
      </c>
      <c r="S9" s="117">
        <f t="shared" si="1"/>
        <v>555569804</v>
      </c>
      <c r="T9" s="117">
        <f t="shared" si="1"/>
        <v>555569804</v>
      </c>
      <c r="U9" s="117">
        <f t="shared" si="1"/>
        <v>555569804</v>
      </c>
      <c r="V9" s="117">
        <f t="shared" si="1"/>
        <v>555569804</v>
      </c>
      <c r="W9" s="117">
        <f>SUM(E9:V9)</f>
        <v>10000256472</v>
      </c>
    </row>
    <row r="10" spans="2:24" ht="24" customHeight="1" x14ac:dyDescent="0.25">
      <c r="W10" s="162">
        <f>SUM(W8:W9)</f>
        <v>10457920524</v>
      </c>
    </row>
    <row r="11" spans="2:24" x14ac:dyDescent="0.25">
      <c r="B11" s="13" t="s">
        <v>260</v>
      </c>
      <c r="C11" s="13" t="s">
        <v>40</v>
      </c>
      <c r="D11" s="13" t="s">
        <v>41</v>
      </c>
      <c r="E11" s="13" t="s">
        <v>42</v>
      </c>
      <c r="F11" s="13" t="s">
        <v>43</v>
      </c>
      <c r="G11" s="13" t="s">
        <v>44</v>
      </c>
      <c r="W11" s="162">
        <f>+'Presupuesto detallado'!V100</f>
        <v>10457920524</v>
      </c>
    </row>
    <row r="12" spans="2:24" x14ac:dyDescent="0.25">
      <c r="B12" s="14" t="s">
        <v>323</v>
      </c>
      <c r="C12" s="21">
        <v>1</v>
      </c>
      <c r="D12" s="14" t="s">
        <v>230</v>
      </c>
      <c r="E12" s="49">
        <f>+Parámetros!D12</f>
        <v>10245720</v>
      </c>
      <c r="F12" s="23">
        <v>11</v>
      </c>
      <c r="G12" s="57">
        <f>E12*F12</f>
        <v>112702920</v>
      </c>
      <c r="W12" s="221">
        <f>+W10-W11</f>
        <v>0</v>
      </c>
    </row>
    <row r="13" spans="2:24" x14ac:dyDescent="0.25">
      <c r="B13" s="14" t="s">
        <v>232</v>
      </c>
      <c r="C13" s="21">
        <v>4</v>
      </c>
      <c r="D13" s="14" t="s">
        <v>104</v>
      </c>
      <c r="E13" s="49">
        <v>3000000</v>
      </c>
      <c r="F13" s="23"/>
      <c r="G13" s="57">
        <f>C13*E13</f>
        <v>12000000</v>
      </c>
    </row>
    <row r="14" spans="2:24" x14ac:dyDescent="0.25">
      <c r="B14" s="14" t="s">
        <v>233</v>
      </c>
      <c r="C14" s="21">
        <v>4</v>
      </c>
      <c r="D14" s="14" t="s">
        <v>104</v>
      </c>
      <c r="E14" s="49">
        <v>5000000</v>
      </c>
      <c r="F14" s="23"/>
      <c r="G14" s="57">
        <f>C14*E14</f>
        <v>20000000</v>
      </c>
    </row>
    <row r="15" spans="2:24" x14ac:dyDescent="0.25">
      <c r="B15" s="14" t="s">
        <v>193</v>
      </c>
      <c r="C15" s="21">
        <v>4</v>
      </c>
      <c r="D15" s="14" t="s">
        <v>194</v>
      </c>
      <c r="E15" s="49">
        <f>+Parámetros!C32</f>
        <v>1000000</v>
      </c>
      <c r="F15" s="23"/>
      <c r="G15" s="57">
        <f>C15*E15</f>
        <v>4000000</v>
      </c>
    </row>
    <row r="16" spans="2:24" x14ac:dyDescent="0.25">
      <c r="B16" s="14" t="s">
        <v>257</v>
      </c>
      <c r="C16" s="21">
        <v>2</v>
      </c>
      <c r="D16" s="54" t="s">
        <v>195</v>
      </c>
      <c r="E16" s="49">
        <f>+Parámetros!F22</f>
        <v>1925882</v>
      </c>
      <c r="F16" s="23"/>
      <c r="G16" s="57">
        <f>C16*E16</f>
        <v>3851764</v>
      </c>
    </row>
    <row r="17" spans="2:8" ht="24.75" x14ac:dyDescent="0.25">
      <c r="B17" s="56" t="s">
        <v>531</v>
      </c>
      <c r="C17" s="21"/>
      <c r="D17" s="14"/>
      <c r="E17" s="22"/>
      <c r="F17" s="23"/>
      <c r="G17" s="97" t="str">
        <f>+Parámetros!C4</f>
        <v>Presupuesto relativo</v>
      </c>
    </row>
    <row r="18" spans="2:8" x14ac:dyDescent="0.25">
      <c r="B18" s="24" t="s">
        <v>46</v>
      </c>
      <c r="C18" s="25"/>
      <c r="D18" s="14"/>
      <c r="E18" s="13"/>
      <c r="F18" s="13"/>
      <c r="G18" s="26">
        <f>SUM(G12:G17)</f>
        <v>152554684</v>
      </c>
    </row>
    <row r="19" spans="2:8" x14ac:dyDescent="0.25">
      <c r="B19" s="5"/>
      <c r="C19" s="5"/>
      <c r="D19" s="5"/>
      <c r="E19" s="5"/>
      <c r="F19" s="5"/>
      <c r="G19" s="5"/>
      <c r="H19" s="5"/>
    </row>
    <row r="20" spans="2:8" x14ac:dyDescent="0.25">
      <c r="B20" s="5"/>
      <c r="C20" s="5"/>
      <c r="D20" s="5"/>
      <c r="E20" s="5"/>
      <c r="F20" s="5"/>
      <c r="G20" s="5"/>
      <c r="H20" s="5"/>
    </row>
    <row r="21" spans="2:8" x14ac:dyDescent="0.25">
      <c r="B21" s="13" t="s">
        <v>54</v>
      </c>
      <c r="C21" s="13" t="s">
        <v>40</v>
      </c>
      <c r="D21" s="13" t="s">
        <v>41</v>
      </c>
      <c r="E21" s="13" t="s">
        <v>42</v>
      </c>
      <c r="F21" s="13" t="s">
        <v>43</v>
      </c>
      <c r="G21" s="13" t="s">
        <v>44</v>
      </c>
    </row>
    <row r="22" spans="2:8" x14ac:dyDescent="0.25">
      <c r="B22" s="14" t="s">
        <v>620</v>
      </c>
      <c r="C22" s="21">
        <v>1</v>
      </c>
      <c r="D22" s="14" t="s">
        <v>230</v>
      </c>
      <c r="E22" s="224">
        <f>+Parámetros!D12</f>
        <v>10245720</v>
      </c>
      <c r="F22" s="23">
        <v>11</v>
      </c>
      <c r="G22" s="223">
        <f>E22*F22</f>
        <v>112702920</v>
      </c>
    </row>
    <row r="23" spans="2:8" x14ac:dyDescent="0.25">
      <c r="B23" s="14" t="s">
        <v>232</v>
      </c>
      <c r="C23" s="21">
        <v>4</v>
      </c>
      <c r="D23" s="14" t="s">
        <v>104</v>
      </c>
      <c r="E23" s="224">
        <v>3000000</v>
      </c>
      <c r="F23" s="23"/>
      <c r="G23" s="223">
        <f>C23*E23</f>
        <v>12000000</v>
      </c>
    </row>
    <row r="24" spans="2:8" x14ac:dyDescent="0.25">
      <c r="B24" s="14" t="s">
        <v>233</v>
      </c>
      <c r="C24" s="21">
        <v>4</v>
      </c>
      <c r="D24" s="14" t="s">
        <v>104</v>
      </c>
      <c r="E24" s="224">
        <v>5000000</v>
      </c>
      <c r="F24" s="23"/>
      <c r="G24" s="223">
        <f>C24*E24</f>
        <v>20000000</v>
      </c>
    </row>
    <row r="25" spans="2:8" x14ac:dyDescent="0.25">
      <c r="B25" s="14" t="s">
        <v>616</v>
      </c>
      <c r="C25" s="21">
        <v>4</v>
      </c>
      <c r="D25" s="14" t="s">
        <v>194</v>
      </c>
      <c r="E25" s="224">
        <f>+Parámetros!C32</f>
        <v>1000000</v>
      </c>
      <c r="F25" s="23"/>
      <c r="G25" s="223">
        <f>C25*E25</f>
        <v>4000000</v>
      </c>
    </row>
    <row r="26" spans="2:8" x14ac:dyDescent="0.25">
      <c r="B26" s="14" t="s">
        <v>619</v>
      </c>
      <c r="C26" s="21">
        <v>2</v>
      </c>
      <c r="D26" s="54" t="s">
        <v>195</v>
      </c>
      <c r="E26" s="224">
        <f>+Parámetros!F22</f>
        <v>1925882</v>
      </c>
      <c r="F26" s="23"/>
      <c r="G26" s="223">
        <f>C26*E26</f>
        <v>3851764</v>
      </c>
    </row>
    <row r="27" spans="2:8" x14ac:dyDescent="0.25">
      <c r="B27" s="14" t="s">
        <v>617</v>
      </c>
      <c r="C27" s="21">
        <v>20</v>
      </c>
      <c r="D27" s="54" t="s">
        <v>194</v>
      </c>
      <c r="E27" s="224">
        <f>+Parámetros!C32</f>
        <v>1000000</v>
      </c>
      <c r="F27" s="23"/>
      <c r="G27" s="223">
        <f>+C27*E27</f>
        <v>20000000</v>
      </c>
    </row>
    <row r="28" spans="2:8" x14ac:dyDescent="0.25">
      <c r="B28" s="14" t="s">
        <v>618</v>
      </c>
      <c r="C28" s="21">
        <v>60</v>
      </c>
      <c r="D28" s="54" t="s">
        <v>553</v>
      </c>
      <c r="E28" s="224">
        <f>+Parámetros!D22</f>
        <v>550252</v>
      </c>
      <c r="F28" s="23"/>
      <c r="G28" s="223">
        <f>+C28*E28</f>
        <v>33015120</v>
      </c>
    </row>
    <row r="29" spans="2:8" x14ac:dyDescent="0.25">
      <c r="B29" s="302" t="s">
        <v>602</v>
      </c>
      <c r="C29" s="55">
        <v>10000</v>
      </c>
      <c r="D29" s="56" t="s">
        <v>603</v>
      </c>
      <c r="E29" s="225">
        <v>30000</v>
      </c>
      <c r="F29" s="80"/>
      <c r="G29" s="159">
        <f>+C29*E29</f>
        <v>300000000</v>
      </c>
    </row>
    <row r="30" spans="2:8" x14ac:dyDescent="0.25">
      <c r="B30" s="302"/>
      <c r="C30" s="55">
        <v>20</v>
      </c>
      <c r="D30" s="56" t="s">
        <v>604</v>
      </c>
      <c r="E30" s="225">
        <v>2000000</v>
      </c>
      <c r="F30" s="80"/>
      <c r="G30" s="159">
        <f>+C30*E30</f>
        <v>40000000</v>
      </c>
    </row>
    <row r="31" spans="2:8" ht="36" x14ac:dyDescent="0.25">
      <c r="B31" s="18" t="s">
        <v>615</v>
      </c>
      <c r="C31" s="55">
        <v>1</v>
      </c>
      <c r="D31" s="18" t="s">
        <v>104</v>
      </c>
      <c r="E31" s="57">
        <v>10000000</v>
      </c>
      <c r="F31" s="23"/>
      <c r="G31" s="57">
        <f>+C31*E31</f>
        <v>10000000</v>
      </c>
      <c r="H31" s="178"/>
    </row>
    <row r="32" spans="2:8" ht="24" x14ac:dyDescent="0.25">
      <c r="B32" s="122" t="s">
        <v>447</v>
      </c>
      <c r="C32" s="166"/>
      <c r="D32" s="167"/>
      <c r="E32" s="168"/>
      <c r="F32" s="108"/>
      <c r="G32" s="53" t="str">
        <f>+Parámetros!C4</f>
        <v>Presupuesto relativo</v>
      </c>
    </row>
    <row r="33" spans="2:7" x14ac:dyDescent="0.25">
      <c r="B33" s="203" t="s">
        <v>234</v>
      </c>
      <c r="C33" s="204"/>
      <c r="D33" s="204"/>
      <c r="E33" s="204"/>
      <c r="F33" s="205"/>
      <c r="G33" s="26">
        <f>SUM(G22:G32)</f>
        <v>555569804</v>
      </c>
    </row>
    <row r="38" spans="2:7" x14ac:dyDescent="0.25">
      <c r="B38" s="40"/>
    </row>
  </sheetData>
  <sheetProtection sheet="1" formatCells="0" formatColumns="0" formatRows="0" insertColumns="0" insertRows="0" insertHyperlinks="0" deleteColumns="0" deleteRows="0" sort="0" autoFilter="0" pivotTables="0"/>
  <mergeCells count="1">
    <mergeCell ref="B29:B30"/>
  </mergeCells>
  <pageMargins left="0.7" right="0.7" top="0.75" bottom="0.75" header="0.3" footer="0.3"/>
  <ignoredErrors>
    <ignoredError sqref="E26"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X57"/>
  <sheetViews>
    <sheetView workbookViewId="0">
      <selection activeCell="F17" sqref="F17"/>
    </sheetView>
  </sheetViews>
  <sheetFormatPr baseColWidth="10" defaultRowHeight="14.25" x14ac:dyDescent="0.2"/>
  <cols>
    <col min="1" max="1" width="5.140625" style="226" customWidth="1"/>
    <col min="2" max="2" width="45.7109375" style="226" customWidth="1"/>
    <col min="3" max="3" width="17.140625" style="226" customWidth="1"/>
    <col min="4" max="4" width="15.140625" style="226" customWidth="1"/>
    <col min="5" max="5" width="14.42578125" style="226" bestFit="1" customWidth="1"/>
    <col min="6" max="6" width="16.5703125" style="226" customWidth="1"/>
    <col min="7" max="7" width="13.85546875" style="226" bestFit="1" customWidth="1"/>
    <col min="8" max="8" width="15.140625" style="226" customWidth="1"/>
    <col min="9" max="10" width="14.42578125" style="226" bestFit="1" customWidth="1"/>
    <col min="11" max="11" width="13" style="226" bestFit="1" customWidth="1"/>
    <col min="12" max="13" width="12.28515625" style="226" bestFit="1" customWidth="1"/>
    <col min="14" max="15" width="14.42578125" style="226" bestFit="1" customWidth="1"/>
    <col min="16" max="17" width="13.140625" style="226" bestFit="1" customWidth="1"/>
    <col min="18" max="19" width="12.140625" style="226" bestFit="1" customWidth="1"/>
    <col min="20" max="20" width="14.42578125" style="226" bestFit="1" customWidth="1"/>
    <col min="21" max="21" width="11.42578125" style="226"/>
    <col min="22" max="22" width="13" style="226" bestFit="1" customWidth="1"/>
    <col min="23" max="24" width="18.5703125" style="226" customWidth="1"/>
    <col min="25" max="16384" width="11.42578125" style="226"/>
  </cols>
  <sheetData>
    <row r="2" spans="2:24" x14ac:dyDescent="0.2">
      <c r="B2" s="99" t="s">
        <v>1</v>
      </c>
      <c r="C2" s="99"/>
      <c r="D2" s="99"/>
      <c r="E2" s="99"/>
      <c r="F2" s="99"/>
      <c r="G2" s="99"/>
      <c r="H2" s="99"/>
      <c r="I2" s="99"/>
      <c r="J2" s="99"/>
      <c r="K2" s="99"/>
      <c r="L2" s="99"/>
      <c r="M2" s="99"/>
      <c r="N2" s="99"/>
      <c r="O2" s="99"/>
      <c r="P2" s="99"/>
      <c r="Q2" s="99"/>
      <c r="R2" s="99"/>
      <c r="S2" s="99"/>
      <c r="T2" s="99"/>
      <c r="U2" s="99"/>
      <c r="V2" s="99"/>
      <c r="W2" s="99"/>
      <c r="X2" s="99"/>
    </row>
    <row r="4" spans="2:24" x14ac:dyDescent="0.2">
      <c r="B4" s="15" t="str">
        <f>+'Presupuesto detallado'!B103</f>
        <v>PROGRAMA 6. Infraestructura y servicios logísticos para la cadena arrocera</v>
      </c>
    </row>
    <row r="5" spans="2:24" x14ac:dyDescent="0.2">
      <c r="B5" s="15" t="str">
        <f>+'Presupuesto detallado'!B104</f>
        <v>6.1. Fortalecimiento de la infraestructura para la conectividad y la cobertura de servicios públicos en las regiones arroceras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
      <c r="B8" s="18" t="str">
        <f>+'Presupuesto detallado'!B105</f>
        <v>6.1.1. Identificación y actualización de necesidades de infraestructura para la conectividad y de servicios públicos en las regiones arroceras</v>
      </c>
      <c r="C8" s="19" t="s">
        <v>452</v>
      </c>
      <c r="D8" s="56"/>
      <c r="E8" s="117">
        <f>H22</f>
        <v>179971894.09999999</v>
      </c>
      <c r="F8" s="117">
        <f>E8</f>
        <v>179971894.09999999</v>
      </c>
      <c r="G8" s="141"/>
      <c r="H8" s="117"/>
      <c r="I8" s="117"/>
      <c r="J8" s="117"/>
      <c r="K8" s="18"/>
      <c r="L8" s="18"/>
      <c r="M8" s="18"/>
      <c r="N8" s="117">
        <f>H22</f>
        <v>179971894.09999999</v>
      </c>
      <c r="O8" s="117">
        <f>N8</f>
        <v>179971894.09999999</v>
      </c>
      <c r="P8" s="18"/>
      <c r="Q8" s="18"/>
      <c r="R8" s="18"/>
      <c r="S8" s="18"/>
      <c r="T8" s="117"/>
      <c r="U8" s="18"/>
      <c r="V8" s="18"/>
      <c r="W8" s="228">
        <f>SUM(D8:V8)</f>
        <v>719887576.39999998</v>
      </c>
    </row>
    <row r="9" spans="2:24" ht="48" x14ac:dyDescent="0.2">
      <c r="B9" s="18" t="str">
        <f>+'Presupuesto detallado'!B106</f>
        <v>6.1.2. Priorización de zonas estratégicas de intervención, para el mejoramiento de la infraestructura de conectividad y cobertura de servicios públicos en las regiones arroceras</v>
      </c>
      <c r="C9" s="19" t="s">
        <v>453</v>
      </c>
      <c r="D9" s="56"/>
      <c r="E9" s="56"/>
      <c r="F9" s="56"/>
      <c r="G9" s="117">
        <f>H29</f>
        <v>61137463.199999996</v>
      </c>
      <c r="H9" s="117">
        <f>H29</f>
        <v>61137463.199999996</v>
      </c>
      <c r="I9" s="227"/>
      <c r="J9" s="227"/>
      <c r="K9" s="56"/>
      <c r="L9" s="56"/>
      <c r="M9" s="56"/>
      <c r="O9" s="56"/>
      <c r="P9" s="117">
        <f>H29</f>
        <v>61137463.199999996</v>
      </c>
      <c r="Q9" s="117">
        <f>H29</f>
        <v>61137463.199999996</v>
      </c>
      <c r="R9" s="56"/>
      <c r="S9" s="227"/>
      <c r="T9" s="227"/>
      <c r="U9" s="56"/>
      <c r="V9" s="56"/>
      <c r="W9" s="228">
        <f>SUM(D9:V9)</f>
        <v>244549852.79999998</v>
      </c>
    </row>
    <row r="10" spans="2:24" ht="72" x14ac:dyDescent="0.2">
      <c r="B10" s="18" t="str">
        <f>+'Presupuesto detallado'!B107</f>
        <v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v>
      </c>
      <c r="C10" s="19" t="s">
        <v>454</v>
      </c>
      <c r="D10" s="56"/>
      <c r="E10" s="56"/>
      <c r="F10" s="56"/>
      <c r="G10" s="56"/>
      <c r="H10" s="56"/>
      <c r="I10" s="117">
        <f>H37</f>
        <v>84295592.699999988</v>
      </c>
      <c r="J10" s="117">
        <f>I10</f>
        <v>84295592.699999988</v>
      </c>
      <c r="K10" s="120"/>
      <c r="L10" s="56"/>
      <c r="M10" s="56"/>
      <c r="N10" s="56"/>
      <c r="P10" s="56"/>
      <c r="Q10" s="56"/>
      <c r="R10" s="117">
        <f>+I10</f>
        <v>84295592.699999988</v>
      </c>
      <c r="S10" s="117">
        <f>+I10</f>
        <v>84295592.699999988</v>
      </c>
      <c r="T10" s="227"/>
      <c r="U10" s="56"/>
      <c r="V10" s="56"/>
      <c r="W10" s="228">
        <f>SUM(D10:V10)</f>
        <v>337182370.79999995</v>
      </c>
    </row>
    <row r="11" spans="2:24" ht="60" x14ac:dyDescent="0.2">
      <c r="B11" s="18" t="str">
        <f>+'Presupuesto detallado'!B108</f>
        <v>6.1.4. Inclusión de los necesidades agrologísticas de la cadena arrocera en el proceso de formulación de acciones del plan nacional de agrologística (Articulación con el Plan Nacional de Agrologística (en formulación))</v>
      </c>
      <c r="C11" s="19" t="s">
        <v>261</v>
      </c>
      <c r="D11" s="56"/>
      <c r="E11" s="116">
        <f>H46</f>
        <v>63298889.5</v>
      </c>
      <c r="F11" s="116">
        <f>H46</f>
        <v>63298889.5</v>
      </c>
      <c r="G11" s="56"/>
      <c r="H11" s="56"/>
      <c r="I11" s="56"/>
      <c r="J11" s="56"/>
      <c r="K11" s="116"/>
      <c r="L11" s="56"/>
      <c r="M11" s="56"/>
      <c r="N11" s="56"/>
      <c r="O11" s="116"/>
      <c r="P11" s="56"/>
      <c r="Q11" s="56"/>
      <c r="R11" s="56"/>
      <c r="S11" s="56"/>
      <c r="T11" s="56"/>
      <c r="U11" s="56"/>
      <c r="V11" s="56"/>
      <c r="W11" s="228">
        <f>SUM(D11:V11)</f>
        <v>126597779</v>
      </c>
    </row>
    <row r="12" spans="2:24" ht="48" x14ac:dyDescent="0.2">
      <c r="B12" s="18" t="str">
        <f>+'Presupuesto detallado'!B109</f>
        <v>6.1.5. Articulación y gestión de fuentes de inversión y financiación para el desarrollo de la infraestructura y de los servicios logísticos (Articulación con el Plan Nacional de Agrologística (en formulación))</v>
      </c>
      <c r="C12" s="19" t="s">
        <v>97</v>
      </c>
      <c r="D12" s="56"/>
      <c r="E12" s="116">
        <f>H56</f>
        <v>117279383.5</v>
      </c>
      <c r="F12" s="116">
        <f>H56</f>
        <v>117279383.5</v>
      </c>
      <c r="G12" s="140">
        <f t="shared" ref="G12:P12" si="0">+$H$56</f>
        <v>117279383.5</v>
      </c>
      <c r="H12" s="140">
        <f t="shared" si="0"/>
        <v>117279383.5</v>
      </c>
      <c r="I12" s="140">
        <f t="shared" si="0"/>
        <v>117279383.5</v>
      </c>
      <c r="J12" s="140">
        <f t="shared" si="0"/>
        <v>117279383.5</v>
      </c>
      <c r="K12" s="140">
        <f t="shared" si="0"/>
        <v>117279383.5</v>
      </c>
      <c r="L12" s="140">
        <f t="shared" si="0"/>
        <v>117279383.5</v>
      </c>
      <c r="M12" s="140">
        <f t="shared" si="0"/>
        <v>117279383.5</v>
      </c>
      <c r="N12" s="140">
        <f t="shared" si="0"/>
        <v>117279383.5</v>
      </c>
      <c r="O12" s="140">
        <f t="shared" si="0"/>
        <v>117279383.5</v>
      </c>
      <c r="P12" s="140">
        <f t="shared" si="0"/>
        <v>117279383.5</v>
      </c>
      <c r="Q12" s="56"/>
      <c r="R12" s="56"/>
      <c r="S12" s="56"/>
      <c r="T12" s="56"/>
      <c r="U12" s="56"/>
      <c r="V12" s="116"/>
      <c r="W12" s="228">
        <f>SUM(D12:V12)</f>
        <v>1407352602</v>
      </c>
    </row>
    <row r="13" spans="2:24" ht="24" customHeight="1" x14ac:dyDescent="0.2">
      <c r="W13" s="156">
        <f>SUM(W8:W12)</f>
        <v>2835570181</v>
      </c>
    </row>
    <row r="14" spans="2:24" x14ac:dyDescent="0.2">
      <c r="B14" s="13" t="s">
        <v>455</v>
      </c>
      <c r="C14" s="13" t="s">
        <v>40</v>
      </c>
      <c r="D14" s="13" t="s">
        <v>41</v>
      </c>
      <c r="E14" s="13" t="s">
        <v>42</v>
      </c>
      <c r="F14" s="13" t="s">
        <v>554</v>
      </c>
      <c r="G14" s="13" t="s">
        <v>43</v>
      </c>
      <c r="H14" s="13" t="s">
        <v>44</v>
      </c>
    </row>
    <row r="15" spans="2:24" x14ac:dyDescent="0.2">
      <c r="B15" s="14" t="s">
        <v>621</v>
      </c>
      <c r="C15" s="21">
        <v>1</v>
      </c>
      <c r="D15" s="14" t="s">
        <v>230</v>
      </c>
      <c r="E15" s="49">
        <f>+Parámetros!D11</f>
        <v>11508889</v>
      </c>
      <c r="F15" s="232">
        <v>0.4</v>
      </c>
      <c r="G15" s="23">
        <v>11</v>
      </c>
      <c r="H15" s="223">
        <f>E15*G15*F15</f>
        <v>50639111.600000001</v>
      </c>
    </row>
    <row r="16" spans="2:24" x14ac:dyDescent="0.2">
      <c r="B16" s="14" t="s">
        <v>625</v>
      </c>
      <c r="C16" s="21">
        <v>2</v>
      </c>
      <c r="D16" s="14" t="s">
        <v>230</v>
      </c>
      <c r="E16" s="49">
        <f>+Parámetros!D14</f>
        <v>7017615</v>
      </c>
      <c r="F16" s="232">
        <v>0.4</v>
      </c>
      <c r="G16" s="23">
        <v>11</v>
      </c>
      <c r="H16" s="223">
        <f>E16*G16*F16*C16</f>
        <v>61755012</v>
      </c>
    </row>
    <row r="17" spans="2:8" x14ac:dyDescent="0.2">
      <c r="B17" s="14" t="s">
        <v>106</v>
      </c>
      <c r="C17" s="21">
        <v>2</v>
      </c>
      <c r="D17" s="14" t="s">
        <v>104</v>
      </c>
      <c r="E17" s="49">
        <v>3000000</v>
      </c>
      <c r="F17" s="227"/>
      <c r="G17" s="23"/>
      <c r="H17" s="223">
        <f>C17*E17</f>
        <v>6000000</v>
      </c>
    </row>
    <row r="18" spans="2:8" x14ac:dyDescent="0.2">
      <c r="B18" s="14" t="s">
        <v>105</v>
      </c>
      <c r="C18" s="21">
        <v>6</v>
      </c>
      <c r="D18" s="14" t="s">
        <v>104</v>
      </c>
      <c r="E18" s="49">
        <v>5000000</v>
      </c>
      <c r="F18" s="227"/>
      <c r="G18" s="23"/>
      <c r="H18" s="223">
        <f>C18*E18</f>
        <v>30000000</v>
      </c>
    </row>
    <row r="19" spans="2:8" x14ac:dyDescent="0.2">
      <c r="B19" s="14" t="s">
        <v>193</v>
      </c>
      <c r="C19" s="21">
        <v>18</v>
      </c>
      <c r="D19" s="14" t="s">
        <v>624</v>
      </c>
      <c r="E19" s="49">
        <f>+Parámetros!C32</f>
        <v>1000000</v>
      </c>
      <c r="F19" s="227"/>
      <c r="G19" s="23"/>
      <c r="H19" s="223">
        <f>C19*E19</f>
        <v>18000000</v>
      </c>
    </row>
    <row r="20" spans="2:8" x14ac:dyDescent="0.2">
      <c r="B20" s="14" t="s">
        <v>317</v>
      </c>
      <c r="C20" s="21">
        <v>3</v>
      </c>
      <c r="D20" s="54" t="s">
        <v>195</v>
      </c>
      <c r="E20" s="49">
        <f>+Parámetros!F21</f>
        <v>2329540.5</v>
      </c>
      <c r="F20" s="227"/>
      <c r="G20" s="23"/>
      <c r="H20" s="223">
        <f>C20*E20</f>
        <v>6988621.5</v>
      </c>
    </row>
    <row r="21" spans="2:8" x14ac:dyDescent="0.2">
      <c r="B21" s="14" t="s">
        <v>138</v>
      </c>
      <c r="C21" s="21">
        <v>6</v>
      </c>
      <c r="D21" s="54" t="s">
        <v>623</v>
      </c>
      <c r="E21" s="49">
        <f>+Parámetros!F24</f>
        <v>1098191.5</v>
      </c>
      <c r="F21" s="227"/>
      <c r="G21" s="23"/>
      <c r="H21" s="223">
        <f>C21*E21</f>
        <v>6589149</v>
      </c>
    </row>
    <row r="22" spans="2:8" x14ac:dyDescent="0.2">
      <c r="B22" s="161" t="s">
        <v>234</v>
      </c>
      <c r="C22" s="25"/>
      <c r="D22" s="14"/>
      <c r="E22" s="13"/>
      <c r="F22" s="227"/>
      <c r="G22" s="13"/>
      <c r="H22" s="26">
        <f>SUM(H15:H21)</f>
        <v>179971894.09999999</v>
      </c>
    </row>
    <row r="23" spans="2:8" x14ac:dyDescent="0.2">
      <c r="B23" s="234" t="s">
        <v>627</v>
      </c>
      <c r="C23" s="90"/>
      <c r="D23" s="91"/>
      <c r="E23" s="92"/>
      <c r="F23" s="229"/>
      <c r="G23" s="92"/>
      <c r="H23" s="93"/>
    </row>
    <row r="24" spans="2:8" x14ac:dyDescent="0.2">
      <c r="B24" s="234"/>
      <c r="C24" s="90"/>
      <c r="D24" s="91"/>
      <c r="E24" s="92"/>
      <c r="F24" s="229"/>
      <c r="G24" s="92"/>
      <c r="H24" s="93"/>
    </row>
    <row r="25" spans="2:8" x14ac:dyDescent="0.2">
      <c r="B25" s="5"/>
      <c r="C25" s="5"/>
      <c r="D25" s="5"/>
      <c r="E25" s="5"/>
      <c r="F25" s="5"/>
      <c r="G25" s="5"/>
      <c r="H25" s="5"/>
    </row>
    <row r="26" spans="2:8" x14ac:dyDescent="0.2">
      <c r="B26" s="13" t="s">
        <v>263</v>
      </c>
      <c r="C26" s="13" t="s">
        <v>40</v>
      </c>
      <c r="D26" s="13" t="s">
        <v>41</v>
      </c>
      <c r="E26" s="13" t="s">
        <v>42</v>
      </c>
      <c r="F26" s="13" t="s">
        <v>554</v>
      </c>
      <c r="G26" s="13" t="s">
        <v>43</v>
      </c>
      <c r="H26" s="13" t="s">
        <v>44</v>
      </c>
    </row>
    <row r="27" spans="2:8" x14ac:dyDescent="0.2">
      <c r="B27" s="14" t="s">
        <v>621</v>
      </c>
      <c r="C27" s="21">
        <v>1</v>
      </c>
      <c r="D27" s="14" t="s">
        <v>230</v>
      </c>
      <c r="E27" s="49">
        <f>+Parámetros!D11</f>
        <v>11508889</v>
      </c>
      <c r="F27" s="118">
        <v>0.3</v>
      </c>
      <c r="G27" s="23">
        <v>11</v>
      </c>
      <c r="H27" s="223">
        <f>E27*G27*F27</f>
        <v>37979333.699999996</v>
      </c>
    </row>
    <row r="28" spans="2:8" x14ac:dyDescent="0.2">
      <c r="B28" s="14" t="s">
        <v>622</v>
      </c>
      <c r="C28" s="21">
        <v>1</v>
      </c>
      <c r="D28" s="14" t="s">
        <v>230</v>
      </c>
      <c r="E28" s="49">
        <f>+Parámetros!D14</f>
        <v>7017615</v>
      </c>
      <c r="F28" s="118">
        <v>0.3</v>
      </c>
      <c r="G28" s="23">
        <v>11</v>
      </c>
      <c r="H28" s="223">
        <f>E28*G28*F28</f>
        <v>23158129.5</v>
      </c>
    </row>
    <row r="29" spans="2:8" x14ac:dyDescent="0.2">
      <c r="B29" s="161" t="s">
        <v>234</v>
      </c>
      <c r="C29" s="25"/>
      <c r="D29" s="14"/>
      <c r="E29" s="13"/>
      <c r="F29" s="227"/>
      <c r="G29" s="13"/>
      <c r="H29" s="231">
        <f>SUM(H27:H28)</f>
        <v>61137463.199999996</v>
      </c>
    </row>
    <row r="30" spans="2:8" x14ac:dyDescent="0.2">
      <c r="B30" s="234" t="s">
        <v>627</v>
      </c>
      <c r="C30" s="90"/>
      <c r="D30" s="91"/>
      <c r="E30" s="92"/>
      <c r="F30" s="229"/>
      <c r="G30" s="92"/>
      <c r="H30" s="93"/>
    </row>
    <row r="31" spans="2:8" x14ac:dyDescent="0.2">
      <c r="B31" s="233"/>
      <c r="C31" s="90"/>
      <c r="D31" s="91"/>
      <c r="E31" s="92"/>
      <c r="F31" s="229"/>
      <c r="G31" s="92"/>
      <c r="H31" s="93"/>
    </row>
    <row r="32" spans="2:8" x14ac:dyDescent="0.2">
      <c r="B32" s="5"/>
      <c r="C32" s="5"/>
      <c r="D32" s="5"/>
      <c r="E32" s="5"/>
      <c r="F32" s="5"/>
      <c r="G32" s="5"/>
      <c r="H32" s="5"/>
    </row>
    <row r="33" spans="2:8" x14ac:dyDescent="0.2">
      <c r="B33" s="13" t="s">
        <v>456</v>
      </c>
      <c r="C33" s="13" t="s">
        <v>40</v>
      </c>
      <c r="D33" s="13" t="s">
        <v>41</v>
      </c>
      <c r="E33" s="13" t="s">
        <v>42</v>
      </c>
      <c r="F33" s="13" t="s">
        <v>554</v>
      </c>
      <c r="G33" s="13" t="s">
        <v>43</v>
      </c>
      <c r="H33" s="13" t="s">
        <v>44</v>
      </c>
    </row>
    <row r="34" spans="2:8" x14ac:dyDescent="0.2">
      <c r="B34" s="14" t="s">
        <v>621</v>
      </c>
      <c r="C34" s="21">
        <v>1</v>
      </c>
      <c r="D34" s="14" t="s">
        <v>230</v>
      </c>
      <c r="E34" s="49">
        <f>+Parámetros!D11</f>
        <v>11508889</v>
      </c>
      <c r="F34" s="118">
        <v>0.3</v>
      </c>
      <c r="G34" s="23">
        <v>11</v>
      </c>
      <c r="H34" s="223">
        <f>E34*G34*F34</f>
        <v>37979333.699999996</v>
      </c>
    </row>
    <row r="35" spans="2:8" x14ac:dyDescent="0.2">
      <c r="B35" s="14" t="s">
        <v>622</v>
      </c>
      <c r="C35" s="21">
        <v>2</v>
      </c>
      <c r="D35" s="14" t="s">
        <v>230</v>
      </c>
      <c r="E35" s="49">
        <f>+Parámetros!D14</f>
        <v>7017615</v>
      </c>
      <c r="F35" s="118">
        <v>0.3</v>
      </c>
      <c r="G35" s="23">
        <v>11</v>
      </c>
      <c r="H35" s="223">
        <f>E35*G35*F35*C35</f>
        <v>46316259</v>
      </c>
    </row>
    <row r="36" spans="2:8" ht="24" x14ac:dyDescent="0.2">
      <c r="B36" s="56" t="s">
        <v>262</v>
      </c>
      <c r="C36" s="21"/>
      <c r="D36" s="54"/>
      <c r="E36" s="49"/>
      <c r="F36" s="227"/>
      <c r="G36" s="23"/>
      <c r="H36" s="230" t="s">
        <v>118</v>
      </c>
    </row>
    <row r="37" spans="2:8" x14ac:dyDescent="0.2">
      <c r="B37" s="161" t="s">
        <v>234</v>
      </c>
      <c r="C37" s="25"/>
      <c r="D37" s="14"/>
      <c r="E37" s="13"/>
      <c r="F37" s="227"/>
      <c r="G37" s="13"/>
      <c r="H37" s="26">
        <f>SUM(H34:H36)</f>
        <v>84295592.699999988</v>
      </c>
    </row>
    <row r="38" spans="2:8" x14ac:dyDescent="0.2">
      <c r="B38" s="234" t="s">
        <v>627</v>
      </c>
      <c r="C38" s="90"/>
      <c r="D38" s="91"/>
      <c r="E38" s="92"/>
      <c r="F38" s="229"/>
      <c r="G38" s="92"/>
      <c r="H38" s="93"/>
    </row>
    <row r="39" spans="2:8" x14ac:dyDescent="0.2">
      <c r="B39" s="59"/>
      <c r="C39" s="90"/>
      <c r="D39" s="91"/>
      <c r="E39" s="92"/>
      <c r="F39" s="229"/>
      <c r="G39" s="92"/>
      <c r="H39" s="93"/>
    </row>
    <row r="41" spans="2:8" x14ac:dyDescent="0.2">
      <c r="B41" s="13" t="s">
        <v>457</v>
      </c>
      <c r="C41" s="13" t="s">
        <v>40</v>
      </c>
      <c r="D41" s="13" t="s">
        <v>41</v>
      </c>
      <c r="E41" s="13" t="s">
        <v>42</v>
      </c>
      <c r="F41" s="13" t="s">
        <v>554</v>
      </c>
      <c r="G41" s="13" t="s">
        <v>43</v>
      </c>
      <c r="H41" s="13" t="s">
        <v>44</v>
      </c>
    </row>
    <row r="42" spans="2:8" x14ac:dyDescent="0.2">
      <c r="B42" s="92"/>
      <c r="C42" s="92"/>
      <c r="D42" s="92"/>
      <c r="E42" s="92"/>
      <c r="F42" s="92"/>
      <c r="G42" s="92"/>
      <c r="H42" s="92"/>
    </row>
    <row r="44" spans="2:8" x14ac:dyDescent="0.2">
      <c r="B44" s="13" t="s">
        <v>458</v>
      </c>
      <c r="C44" s="13" t="s">
        <v>40</v>
      </c>
      <c r="D44" s="13" t="s">
        <v>41</v>
      </c>
      <c r="E44" s="13" t="s">
        <v>42</v>
      </c>
      <c r="F44" s="13" t="s">
        <v>554</v>
      </c>
      <c r="G44" s="13" t="s">
        <v>43</v>
      </c>
      <c r="H44" s="13" t="s">
        <v>44</v>
      </c>
    </row>
    <row r="45" spans="2:8" x14ac:dyDescent="0.2">
      <c r="B45" s="14" t="s">
        <v>321</v>
      </c>
      <c r="C45" s="21">
        <v>1</v>
      </c>
      <c r="D45" s="14" t="s">
        <v>230</v>
      </c>
      <c r="E45" s="49">
        <f>+Parámetros!D11</f>
        <v>11508889</v>
      </c>
      <c r="F45" s="232">
        <v>0.5</v>
      </c>
      <c r="G45" s="23">
        <v>11</v>
      </c>
      <c r="H45" s="223">
        <f>E45*G45*F45</f>
        <v>63298889.5</v>
      </c>
    </row>
    <row r="46" spans="2:8" x14ac:dyDescent="0.2">
      <c r="B46" s="161" t="s">
        <v>234</v>
      </c>
      <c r="C46" s="25"/>
      <c r="D46" s="14"/>
      <c r="E46" s="13"/>
      <c r="F46" s="227"/>
      <c r="G46" s="13"/>
      <c r="H46" s="26">
        <f>SUM(H45)</f>
        <v>63298889.5</v>
      </c>
    </row>
    <row r="47" spans="2:8" x14ac:dyDescent="0.2">
      <c r="B47" s="234" t="s">
        <v>628</v>
      </c>
      <c r="C47" s="90"/>
      <c r="D47" s="91"/>
      <c r="E47" s="92"/>
      <c r="F47" s="229"/>
      <c r="G47" s="92"/>
      <c r="H47" s="93"/>
    </row>
    <row r="48" spans="2:8" x14ac:dyDescent="0.2">
      <c r="B48" s="234"/>
      <c r="C48" s="90"/>
      <c r="D48" s="91"/>
      <c r="E48" s="92"/>
      <c r="F48" s="229"/>
      <c r="G48" s="92"/>
      <c r="H48" s="93"/>
    </row>
    <row r="50" spans="2:8" x14ac:dyDescent="0.2">
      <c r="B50" s="13" t="s">
        <v>458</v>
      </c>
      <c r="C50" s="13" t="s">
        <v>40</v>
      </c>
      <c r="D50" s="13" t="s">
        <v>41</v>
      </c>
      <c r="E50" s="13" t="s">
        <v>42</v>
      </c>
      <c r="F50" s="13" t="s">
        <v>554</v>
      </c>
      <c r="G50" s="13" t="s">
        <v>43</v>
      </c>
      <c r="H50" s="13" t="s">
        <v>44</v>
      </c>
    </row>
    <row r="51" spans="2:8" x14ac:dyDescent="0.2">
      <c r="B51" s="14" t="s">
        <v>321</v>
      </c>
      <c r="C51" s="21">
        <v>1</v>
      </c>
      <c r="D51" s="14" t="s">
        <v>230</v>
      </c>
      <c r="E51" s="49">
        <f>+Parámetros!D11</f>
        <v>11508889</v>
      </c>
      <c r="F51" s="232">
        <v>0.5</v>
      </c>
      <c r="G51" s="23">
        <v>11</v>
      </c>
      <c r="H51" s="223">
        <f>E51*G51*F51</f>
        <v>63298889.5</v>
      </c>
    </row>
    <row r="52" spans="2:8" x14ac:dyDescent="0.2">
      <c r="B52" s="14" t="s">
        <v>106</v>
      </c>
      <c r="C52" s="21">
        <v>2</v>
      </c>
      <c r="D52" s="14" t="s">
        <v>104</v>
      </c>
      <c r="E52" s="49">
        <v>3000000</v>
      </c>
      <c r="F52" s="227"/>
      <c r="G52" s="23"/>
      <c r="H52" s="223">
        <f>C52*E52</f>
        <v>6000000</v>
      </c>
    </row>
    <row r="53" spans="2:8" x14ac:dyDescent="0.2">
      <c r="B53" s="14" t="s">
        <v>629</v>
      </c>
      <c r="C53" s="21">
        <v>6</v>
      </c>
      <c r="D53" s="14" t="s">
        <v>104</v>
      </c>
      <c r="E53" s="49">
        <v>5000000</v>
      </c>
      <c r="F53" s="227"/>
      <c r="G53" s="23"/>
      <c r="H53" s="223">
        <f>C53*E53</f>
        <v>30000000</v>
      </c>
    </row>
    <row r="54" spans="2:8" x14ac:dyDescent="0.2">
      <c r="B54" s="14" t="s">
        <v>108</v>
      </c>
      <c r="C54" s="21">
        <v>6</v>
      </c>
      <c r="D54" s="14" t="s">
        <v>194</v>
      </c>
      <c r="E54" s="49">
        <f>+Parámetros!C32</f>
        <v>1000000</v>
      </c>
      <c r="F54" s="227"/>
      <c r="G54" s="23"/>
      <c r="H54" s="223">
        <f>C54*E54</f>
        <v>6000000</v>
      </c>
    </row>
    <row r="55" spans="2:8" x14ac:dyDescent="0.2">
      <c r="B55" s="56" t="s">
        <v>626</v>
      </c>
      <c r="C55" s="21">
        <v>18</v>
      </c>
      <c r="D55" s="54" t="s">
        <v>553</v>
      </c>
      <c r="E55" s="49">
        <f>+Parámetros!D21</f>
        <v>665583</v>
      </c>
      <c r="F55" s="227"/>
      <c r="G55" s="23"/>
      <c r="H55" s="223">
        <f>C55*E55</f>
        <v>11980494</v>
      </c>
    </row>
    <row r="56" spans="2:8" x14ac:dyDescent="0.2">
      <c r="B56" s="161" t="s">
        <v>234</v>
      </c>
      <c r="C56" s="25"/>
      <c r="D56" s="14"/>
      <c r="E56" s="13"/>
      <c r="F56" s="227"/>
      <c r="G56" s="13"/>
      <c r="H56" s="26">
        <f>SUM(H51:H55)</f>
        <v>117279383.5</v>
      </c>
    </row>
    <row r="57" spans="2:8" x14ac:dyDescent="0.2">
      <c r="B57" s="234" t="s">
        <v>628</v>
      </c>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X6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7109375" style="1" bestFit="1" customWidth="1"/>
    <col min="6" max="6" width="11.5703125" style="1" bestFit="1" customWidth="1"/>
    <col min="7" max="7" width="14.42578125" style="1" bestFit="1" customWidth="1"/>
    <col min="8" max="8" width="17.140625" style="1" bestFit="1" customWidth="1"/>
    <col min="9" max="9" width="14.7109375" style="1" bestFit="1" customWidth="1"/>
    <col min="10" max="10" width="16.85546875" style="1" bestFit="1" customWidth="1"/>
    <col min="11" max="11" width="15.42578125" style="1" customWidth="1"/>
    <col min="12" max="12" width="14.7109375" style="1" bestFit="1" customWidth="1"/>
    <col min="13" max="15" width="12.85546875" style="1" customWidth="1"/>
    <col min="16" max="16" width="13.140625" style="1" customWidth="1"/>
    <col min="17" max="18" width="12.85546875" style="1" customWidth="1"/>
    <col min="19" max="19" width="13.5703125" style="1" customWidth="1"/>
    <col min="20" max="20" width="12.5703125" style="1" customWidth="1"/>
    <col min="21" max="21" width="12.7109375" style="1" customWidth="1"/>
    <col min="22" max="22" width="12.85546875" style="1" customWidth="1"/>
    <col min="23" max="23" width="15.710937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detallado'!B103</f>
        <v>PROGRAMA 6. Infraestructura y servicios logísticos para la cadena arrocera</v>
      </c>
    </row>
    <row r="5" spans="2:24" x14ac:dyDescent="0.25">
      <c r="B5" s="15" t="str">
        <f>+'Presupuesto detallado'!B110</f>
        <v>6.2. Mejora del mercado de servicios logísticos para la cadena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24" x14ac:dyDescent="0.25">
      <c r="B8" s="18" t="str">
        <f>+'Presupuesto detallado'!B111</f>
        <v xml:space="preserve">6.2.1. Identificación de las necesidades de servicios logísticos requeridos por la cadena arrocera </v>
      </c>
      <c r="C8" s="19" t="s">
        <v>140</v>
      </c>
      <c r="D8" s="20"/>
      <c r="E8" s="20"/>
      <c r="F8" s="20"/>
      <c r="G8" s="133">
        <f>H21</f>
        <v>149989525.5</v>
      </c>
      <c r="H8" s="133">
        <f>H21</f>
        <v>149989525.5</v>
      </c>
      <c r="I8" s="133">
        <f>H21</f>
        <v>149989525.5</v>
      </c>
      <c r="J8" s="133">
        <f>H21</f>
        <v>149989525.5</v>
      </c>
      <c r="K8" s="133">
        <f>H21</f>
        <v>149989525.5</v>
      </c>
      <c r="L8" s="56"/>
      <c r="M8" s="56"/>
      <c r="N8" s="56"/>
      <c r="O8" s="56"/>
      <c r="P8" s="56"/>
      <c r="Q8" s="56"/>
      <c r="R8" s="56"/>
      <c r="S8" s="56"/>
      <c r="T8" s="56"/>
      <c r="U8" s="56"/>
      <c r="V8" s="56"/>
      <c r="W8" s="133">
        <f>SUM(D8:V8)</f>
        <v>749947627.5</v>
      </c>
    </row>
    <row r="9" spans="2:24" ht="36" x14ac:dyDescent="0.25">
      <c r="B9" s="18" t="str">
        <f>+'Presupuesto detallado'!B112</f>
        <v>6.2.2. Promoción de acciones que conlleven a la optimización de la logística de transporte de las zonas productoras a los molinos</v>
      </c>
      <c r="C9" s="19" t="s">
        <v>464</v>
      </c>
      <c r="D9" s="20"/>
      <c r="E9" s="20"/>
      <c r="F9" s="20"/>
      <c r="G9" s="127"/>
      <c r="H9" s="127">
        <f t="shared" ref="H9:R9" si="0">$H$32</f>
        <v>90273435</v>
      </c>
      <c r="I9" s="127">
        <f t="shared" si="0"/>
        <v>90273435</v>
      </c>
      <c r="J9" s="127">
        <f t="shared" si="0"/>
        <v>90273435</v>
      </c>
      <c r="K9" s="127">
        <f t="shared" si="0"/>
        <v>90273435</v>
      </c>
      <c r="L9" s="127">
        <f t="shared" si="0"/>
        <v>90273435</v>
      </c>
      <c r="M9" s="127">
        <f t="shared" si="0"/>
        <v>90273435</v>
      </c>
      <c r="N9" s="127">
        <f t="shared" si="0"/>
        <v>90273435</v>
      </c>
      <c r="O9" s="127">
        <f t="shared" si="0"/>
        <v>90273435</v>
      </c>
      <c r="P9" s="127">
        <f t="shared" si="0"/>
        <v>90273435</v>
      </c>
      <c r="Q9" s="127">
        <f t="shared" si="0"/>
        <v>90273435</v>
      </c>
      <c r="R9" s="127">
        <f t="shared" si="0"/>
        <v>90273435</v>
      </c>
      <c r="S9" s="56"/>
      <c r="T9" s="56"/>
      <c r="U9" s="56"/>
      <c r="V9" s="56"/>
      <c r="W9" s="133">
        <f t="shared" ref="W9:W12" si="1">SUM(D9:V9)</f>
        <v>993007785</v>
      </c>
    </row>
    <row r="10" spans="2:24" ht="48" x14ac:dyDescent="0.25">
      <c r="B10" s="18" t="str">
        <f>+'Presupuesto detallado'!B113</f>
        <v>6.2.3. Articulación de mecanismos actuales y futuros, que permitan desarrollar el mercado de maquinaria y equipos para los diferentes eslabones de la cadena arrocera</v>
      </c>
      <c r="C10" s="19" t="s">
        <v>464</v>
      </c>
      <c r="D10" s="20"/>
      <c r="E10" s="20"/>
      <c r="F10" s="20"/>
      <c r="G10" s="127"/>
      <c r="H10" s="127">
        <f t="shared" ref="H10:R10" si="2">$H$38</f>
        <v>59284813.499999993</v>
      </c>
      <c r="I10" s="127">
        <f t="shared" si="2"/>
        <v>59284813.499999993</v>
      </c>
      <c r="J10" s="127">
        <f t="shared" si="2"/>
        <v>59284813.499999993</v>
      </c>
      <c r="K10" s="127">
        <f t="shared" si="2"/>
        <v>59284813.499999993</v>
      </c>
      <c r="L10" s="127">
        <f t="shared" si="2"/>
        <v>59284813.499999993</v>
      </c>
      <c r="M10" s="127">
        <f t="shared" si="2"/>
        <v>59284813.499999993</v>
      </c>
      <c r="N10" s="127">
        <f t="shared" si="2"/>
        <v>59284813.499999993</v>
      </c>
      <c r="O10" s="127">
        <f t="shared" si="2"/>
        <v>59284813.499999993</v>
      </c>
      <c r="P10" s="127">
        <f t="shared" si="2"/>
        <v>59284813.499999993</v>
      </c>
      <c r="Q10" s="127">
        <f t="shared" si="2"/>
        <v>59284813.499999993</v>
      </c>
      <c r="R10" s="127">
        <f t="shared" si="2"/>
        <v>59284813.499999993</v>
      </c>
      <c r="S10" s="56"/>
      <c r="T10" s="56"/>
      <c r="U10" s="56"/>
      <c r="V10" s="56"/>
      <c r="W10" s="133">
        <f t="shared" si="1"/>
        <v>652132948.49999988</v>
      </c>
    </row>
    <row r="11" spans="2:24" ht="48" x14ac:dyDescent="0.25">
      <c r="B11" s="18" t="str">
        <f>+'Presupuesto detallado'!B114</f>
        <v xml:space="preserve">6.2.4. Mejora de la infraestructura física de almacenamiento y secamiento de acuerdo con las necesidades de las regiones arroceras, para soluciones individuales o asociadas. </v>
      </c>
      <c r="C11" s="19" t="s">
        <v>464</v>
      </c>
      <c r="D11" s="20"/>
      <c r="E11" s="20"/>
      <c r="F11" s="20"/>
      <c r="G11" s="56"/>
      <c r="H11" s="140">
        <f>+H42+H47</f>
        <v>58340000000</v>
      </c>
      <c r="I11" s="140">
        <f>+H43+H48</f>
        <v>37040000000</v>
      </c>
      <c r="J11" s="140">
        <f>+H44+H49</f>
        <v>30650000000</v>
      </c>
      <c r="K11" s="140">
        <f>+H45+H50</f>
        <v>191000000000</v>
      </c>
      <c r="L11" s="140">
        <f>+H46+H51</f>
        <v>73250000000</v>
      </c>
      <c r="M11" s="140" t="str">
        <f>+$H$52</f>
        <v>Presupuesto relativo</v>
      </c>
      <c r="N11" s="140" t="str">
        <f t="shared" ref="N11:R11" si="3">+$H$52</f>
        <v>Presupuesto relativo</v>
      </c>
      <c r="O11" s="140" t="str">
        <f t="shared" si="3"/>
        <v>Presupuesto relativo</v>
      </c>
      <c r="P11" s="140" t="str">
        <f t="shared" si="3"/>
        <v>Presupuesto relativo</v>
      </c>
      <c r="Q11" s="140" t="str">
        <f t="shared" si="3"/>
        <v>Presupuesto relativo</v>
      </c>
      <c r="R11" s="140" t="str">
        <f t="shared" si="3"/>
        <v>Presupuesto relativo</v>
      </c>
      <c r="S11" s="18"/>
      <c r="T11" s="18"/>
      <c r="U11" s="18"/>
      <c r="V11" s="18"/>
      <c r="W11" s="133">
        <f>SUM(D11:V11)</f>
        <v>390280000000</v>
      </c>
    </row>
    <row r="12" spans="2:24" ht="36" x14ac:dyDescent="0.25">
      <c r="B12" s="18" t="str">
        <f>+'Presupuesto detallado'!B115</f>
        <v>6.2.5. Fomento de la creación y consolidación de empresas prestadoras de servicios logísticos (incluye servicios de secamiento y almacenamiento)</v>
      </c>
      <c r="C12" s="19" t="s">
        <v>464</v>
      </c>
      <c r="D12" s="20"/>
      <c r="E12" s="20"/>
      <c r="F12" s="20"/>
      <c r="G12" s="56"/>
      <c r="H12" s="138">
        <f t="shared" ref="H12:R12" si="4">+$G$58</f>
        <v>90000000</v>
      </c>
      <c r="I12" s="138">
        <f t="shared" si="4"/>
        <v>90000000</v>
      </c>
      <c r="J12" s="138">
        <f t="shared" si="4"/>
        <v>90000000</v>
      </c>
      <c r="K12" s="138">
        <f t="shared" si="4"/>
        <v>90000000</v>
      </c>
      <c r="L12" s="138">
        <f t="shared" si="4"/>
        <v>90000000</v>
      </c>
      <c r="M12" s="138">
        <f t="shared" si="4"/>
        <v>90000000</v>
      </c>
      <c r="N12" s="138">
        <f t="shared" si="4"/>
        <v>90000000</v>
      </c>
      <c r="O12" s="138">
        <f t="shared" si="4"/>
        <v>90000000</v>
      </c>
      <c r="P12" s="138">
        <f t="shared" si="4"/>
        <v>90000000</v>
      </c>
      <c r="Q12" s="138">
        <f t="shared" si="4"/>
        <v>90000000</v>
      </c>
      <c r="R12" s="138">
        <f t="shared" si="4"/>
        <v>90000000</v>
      </c>
      <c r="S12" s="18"/>
      <c r="T12" s="18"/>
      <c r="U12" s="18"/>
      <c r="V12" s="18"/>
      <c r="W12" s="133">
        <f t="shared" si="1"/>
        <v>990000000</v>
      </c>
    </row>
    <row r="13" spans="2:24" ht="24" customHeight="1" x14ac:dyDescent="0.25">
      <c r="W13" s="165">
        <f>SUM(W8:W12)</f>
        <v>393665088361</v>
      </c>
    </row>
    <row r="14" spans="2:24" x14ac:dyDescent="0.25">
      <c r="B14" s="13" t="s">
        <v>633</v>
      </c>
      <c r="C14" s="13" t="s">
        <v>40</v>
      </c>
      <c r="D14" s="13" t="s">
        <v>41</v>
      </c>
      <c r="E14" s="13" t="s">
        <v>42</v>
      </c>
      <c r="F14" s="13" t="s">
        <v>554</v>
      </c>
      <c r="G14" s="13" t="s">
        <v>43</v>
      </c>
      <c r="H14" s="13" t="s">
        <v>44</v>
      </c>
      <c r="W14" s="165">
        <f>+'Presupuesto detallado'!V110</f>
        <v>393665088361</v>
      </c>
    </row>
    <row r="15" spans="2:24" x14ac:dyDescent="0.25">
      <c r="B15" s="14" t="s">
        <v>638</v>
      </c>
      <c r="C15" s="21">
        <v>1</v>
      </c>
      <c r="D15" s="14" t="s">
        <v>230</v>
      </c>
      <c r="E15" s="49">
        <f>+Parámetros!D11</f>
        <v>11508889</v>
      </c>
      <c r="F15" s="232">
        <v>0.4</v>
      </c>
      <c r="G15" s="23">
        <v>11</v>
      </c>
      <c r="H15" s="223">
        <f>E15*G15*F15</f>
        <v>50639111.600000001</v>
      </c>
      <c r="W15" s="222">
        <f>+W13-W14</f>
        <v>0</v>
      </c>
    </row>
    <row r="16" spans="2:24" x14ac:dyDescent="0.25">
      <c r="B16" s="14" t="s">
        <v>637</v>
      </c>
      <c r="C16" s="21">
        <v>1</v>
      </c>
      <c r="D16" s="14" t="s">
        <v>230</v>
      </c>
      <c r="E16" s="49">
        <f>+Parámetros!D15</f>
        <v>6456206</v>
      </c>
      <c r="F16" s="232">
        <v>0.4</v>
      </c>
      <c r="G16" s="23">
        <v>11</v>
      </c>
      <c r="H16" s="223">
        <f>+C16*E16*F16*G16</f>
        <v>28407306.400000006</v>
      </c>
    </row>
    <row r="17" spans="2:8" x14ac:dyDescent="0.25">
      <c r="B17" s="14" t="s">
        <v>232</v>
      </c>
      <c r="C17" s="21">
        <v>2</v>
      </c>
      <c r="D17" s="14" t="s">
        <v>104</v>
      </c>
      <c r="E17" s="49">
        <v>3000000</v>
      </c>
      <c r="F17" s="20"/>
      <c r="G17" s="23"/>
      <c r="H17" s="223">
        <f>C17*E17</f>
        <v>6000000</v>
      </c>
    </row>
    <row r="18" spans="2:8" x14ac:dyDescent="0.25">
      <c r="B18" s="14" t="s">
        <v>233</v>
      </c>
      <c r="C18" s="21">
        <v>5</v>
      </c>
      <c r="D18" s="14" t="s">
        <v>104</v>
      </c>
      <c r="E18" s="49">
        <v>5000000</v>
      </c>
      <c r="F18" s="20"/>
      <c r="G18" s="23"/>
      <c r="H18" s="223">
        <f>C18*E18</f>
        <v>25000000</v>
      </c>
    </row>
    <row r="19" spans="2:8" x14ac:dyDescent="0.25">
      <c r="B19" s="14" t="s">
        <v>108</v>
      </c>
      <c r="C19" s="21">
        <v>5</v>
      </c>
      <c r="D19" s="14" t="s">
        <v>194</v>
      </c>
      <c r="E19" s="49">
        <f>+Parámetros!C32</f>
        <v>1000000</v>
      </c>
      <c r="F19" s="20"/>
      <c r="G19" s="23"/>
      <c r="H19" s="223">
        <f>C19*E19</f>
        <v>5000000</v>
      </c>
    </row>
    <row r="20" spans="2:8" x14ac:dyDescent="0.25">
      <c r="B20" s="14" t="s">
        <v>45</v>
      </c>
      <c r="C20" s="21">
        <v>15</v>
      </c>
      <c r="D20" s="54" t="s">
        <v>640</v>
      </c>
      <c r="E20" s="49">
        <f>+Parámetros!F21</f>
        <v>2329540.5</v>
      </c>
      <c r="F20" s="20"/>
      <c r="G20" s="23"/>
      <c r="H20" s="223">
        <f>C20*E20</f>
        <v>34943107.5</v>
      </c>
    </row>
    <row r="21" spans="2:8" x14ac:dyDescent="0.25">
      <c r="B21" s="102" t="s">
        <v>46</v>
      </c>
      <c r="C21" s="20"/>
      <c r="D21" s="20"/>
      <c r="E21" s="20"/>
      <c r="F21" s="20"/>
      <c r="G21" s="20"/>
      <c r="H21" s="119">
        <f>SUM(H15:H20)</f>
        <v>149989525.5</v>
      </c>
    </row>
    <row r="22" spans="2:8" x14ac:dyDescent="0.25">
      <c r="B22" s="202"/>
      <c r="C22" s="42"/>
      <c r="D22" s="42"/>
      <c r="E22" s="42"/>
      <c r="F22" s="42"/>
      <c r="G22" s="42"/>
      <c r="H22" s="125"/>
    </row>
    <row r="23" spans="2:8" x14ac:dyDescent="0.25">
      <c r="B23" s="5"/>
      <c r="H23" s="5"/>
    </row>
    <row r="24" spans="2:8" x14ac:dyDescent="0.25">
      <c r="B24" s="5"/>
      <c r="C24" s="5"/>
      <c r="D24" s="5"/>
      <c r="E24" s="5"/>
      <c r="F24" s="5"/>
      <c r="G24" s="5"/>
      <c r="H24" s="5"/>
    </row>
    <row r="25" spans="2:8" x14ac:dyDescent="0.25">
      <c r="B25" s="13" t="s">
        <v>634</v>
      </c>
      <c r="C25" s="13" t="s">
        <v>40</v>
      </c>
      <c r="D25" s="13" t="s">
        <v>41</v>
      </c>
      <c r="E25" s="13" t="s">
        <v>42</v>
      </c>
      <c r="F25" s="13" t="s">
        <v>43</v>
      </c>
      <c r="G25" s="13" t="s">
        <v>44</v>
      </c>
      <c r="H25" s="13" t="s">
        <v>44</v>
      </c>
    </row>
    <row r="26" spans="2:8" x14ac:dyDescent="0.25">
      <c r="B26" s="14" t="s">
        <v>639</v>
      </c>
      <c r="C26" s="21">
        <v>1</v>
      </c>
      <c r="D26" s="14" t="s">
        <v>230</v>
      </c>
      <c r="E26" s="49">
        <f>+Parámetros!D11</f>
        <v>11508889</v>
      </c>
      <c r="F26" s="232">
        <v>0.3</v>
      </c>
      <c r="G26" s="23">
        <v>11</v>
      </c>
      <c r="H26" s="223">
        <f>E26*G26*F26</f>
        <v>37979333.699999996</v>
      </c>
    </row>
    <row r="27" spans="2:8" x14ac:dyDescent="0.25">
      <c r="B27" s="14" t="s">
        <v>637</v>
      </c>
      <c r="C27" s="21">
        <v>1</v>
      </c>
      <c r="D27" s="14" t="s">
        <v>230</v>
      </c>
      <c r="E27" s="49">
        <f>+Parámetros!D15</f>
        <v>6456206</v>
      </c>
      <c r="F27" s="232">
        <v>0.3</v>
      </c>
      <c r="G27" s="23">
        <v>11</v>
      </c>
      <c r="H27" s="223">
        <f>+C27*E27*F27*G27</f>
        <v>21305479.799999997</v>
      </c>
    </row>
    <row r="28" spans="2:8" x14ac:dyDescent="0.25">
      <c r="B28" s="14" t="s">
        <v>232</v>
      </c>
      <c r="C28" s="21">
        <v>2</v>
      </c>
      <c r="D28" s="14" t="s">
        <v>104</v>
      </c>
      <c r="E28" s="49">
        <v>3000000</v>
      </c>
      <c r="F28" s="20"/>
      <c r="G28" s="23"/>
      <c r="H28" s="223">
        <f>C28*E28</f>
        <v>6000000</v>
      </c>
    </row>
    <row r="29" spans="2:8" x14ac:dyDescent="0.25">
      <c r="B29" s="14" t="s">
        <v>105</v>
      </c>
      <c r="C29" s="21">
        <v>3</v>
      </c>
      <c r="D29" s="14" t="s">
        <v>104</v>
      </c>
      <c r="E29" s="49">
        <v>5000000</v>
      </c>
      <c r="F29" s="20"/>
      <c r="G29" s="23"/>
      <c r="H29" s="223">
        <f>C29*E29</f>
        <v>15000000</v>
      </c>
    </row>
    <row r="30" spans="2:8" x14ac:dyDescent="0.25">
      <c r="B30" s="14" t="s">
        <v>108</v>
      </c>
      <c r="C30" s="21">
        <v>3</v>
      </c>
      <c r="D30" s="14" t="s">
        <v>295</v>
      </c>
      <c r="E30" s="49">
        <f>+Parámetros!C32</f>
        <v>1000000</v>
      </c>
      <c r="F30" s="20"/>
      <c r="G30" s="23"/>
      <c r="H30" s="223">
        <f>C30*E30</f>
        <v>3000000</v>
      </c>
    </row>
    <row r="31" spans="2:8" x14ac:dyDescent="0.25">
      <c r="B31" s="14" t="s">
        <v>45</v>
      </c>
      <c r="C31" s="21">
        <v>3</v>
      </c>
      <c r="D31" s="54" t="s">
        <v>195</v>
      </c>
      <c r="E31" s="49">
        <f>+Parámetros!F21</f>
        <v>2329540.5</v>
      </c>
      <c r="F31" s="20"/>
      <c r="G31" s="23"/>
      <c r="H31" s="223">
        <f>C31*E31</f>
        <v>6988621.5</v>
      </c>
    </row>
    <row r="32" spans="2:8" x14ac:dyDescent="0.25">
      <c r="B32" s="102" t="s">
        <v>46</v>
      </c>
      <c r="C32" s="20"/>
      <c r="D32" s="20"/>
      <c r="E32" s="20"/>
      <c r="F32" s="20"/>
      <c r="G32" s="20"/>
      <c r="H32" s="119">
        <f>SUM(H26:H31)</f>
        <v>90273435</v>
      </c>
    </row>
    <row r="33" spans="2:8" x14ac:dyDescent="0.25">
      <c r="B33" s="28"/>
      <c r="C33" s="28"/>
      <c r="D33" s="28"/>
      <c r="E33" s="28"/>
      <c r="F33" s="28"/>
      <c r="G33" s="28"/>
      <c r="H33" s="5"/>
    </row>
    <row r="34" spans="2:8" x14ac:dyDescent="0.25">
      <c r="B34" s="28"/>
      <c r="C34" s="28"/>
      <c r="D34" s="28"/>
      <c r="E34" s="28"/>
      <c r="F34" s="28"/>
      <c r="G34" s="28"/>
      <c r="H34" s="28"/>
    </row>
    <row r="35" spans="2:8" x14ac:dyDescent="0.25">
      <c r="B35" s="13" t="s">
        <v>635</v>
      </c>
      <c r="C35" s="13" t="s">
        <v>40</v>
      </c>
      <c r="D35" s="13" t="s">
        <v>41</v>
      </c>
      <c r="E35" s="13" t="s">
        <v>42</v>
      </c>
      <c r="F35" s="13" t="s">
        <v>43</v>
      </c>
      <c r="G35" s="13" t="s">
        <v>44</v>
      </c>
      <c r="H35" s="13" t="s">
        <v>44</v>
      </c>
    </row>
    <row r="36" spans="2:8" x14ac:dyDescent="0.25">
      <c r="B36" s="14" t="s">
        <v>638</v>
      </c>
      <c r="C36" s="21">
        <v>1</v>
      </c>
      <c r="D36" s="14" t="s">
        <v>230</v>
      </c>
      <c r="E36" s="49">
        <f>+Parámetros!D11</f>
        <v>11508889</v>
      </c>
      <c r="F36" s="232">
        <v>0.3</v>
      </c>
      <c r="G36" s="23">
        <v>11</v>
      </c>
      <c r="H36" s="223">
        <f>E36*G36*F36*C36</f>
        <v>37979333.699999996</v>
      </c>
    </row>
    <row r="37" spans="2:8" x14ac:dyDescent="0.25">
      <c r="B37" s="14" t="s">
        <v>637</v>
      </c>
      <c r="C37" s="21">
        <v>1</v>
      </c>
      <c r="D37" s="14" t="s">
        <v>230</v>
      </c>
      <c r="E37" s="49">
        <f>+Parámetros!D15</f>
        <v>6456206</v>
      </c>
      <c r="F37" s="232">
        <v>0.3</v>
      </c>
      <c r="G37" s="23">
        <v>11</v>
      </c>
      <c r="H37" s="223">
        <f>+C37*E37*F37*G37</f>
        <v>21305479.799999997</v>
      </c>
    </row>
    <row r="38" spans="2:8" x14ac:dyDescent="0.25">
      <c r="B38" s="102" t="s">
        <v>46</v>
      </c>
      <c r="C38" s="20"/>
      <c r="D38" s="20"/>
      <c r="E38" s="20"/>
      <c r="F38" s="20"/>
      <c r="G38" s="20"/>
      <c r="H38" s="119">
        <f>SUM(H36:H37)</f>
        <v>59284813.499999993</v>
      </c>
    </row>
    <row r="41" spans="2:8" x14ac:dyDescent="0.25">
      <c r="B41" s="13" t="s">
        <v>636</v>
      </c>
      <c r="C41" s="13" t="s">
        <v>40</v>
      </c>
      <c r="D41" s="13" t="s">
        <v>41</v>
      </c>
      <c r="E41" s="13" t="s">
        <v>42</v>
      </c>
      <c r="F41" s="13" t="s">
        <v>43</v>
      </c>
      <c r="G41" s="13" t="s">
        <v>44</v>
      </c>
      <c r="H41" s="13" t="s">
        <v>44</v>
      </c>
    </row>
    <row r="42" spans="2:8" x14ac:dyDescent="0.25">
      <c r="B42" s="54" t="s">
        <v>731</v>
      </c>
      <c r="C42" s="55">
        <v>1</v>
      </c>
      <c r="D42" s="56" t="s">
        <v>104</v>
      </c>
      <c r="E42" s="57">
        <v>20000000000</v>
      </c>
      <c r="F42" s="232"/>
      <c r="G42" s="23"/>
      <c r="H42" s="53">
        <f>+C42*E42</f>
        <v>20000000000</v>
      </c>
    </row>
    <row r="43" spans="2:8" x14ac:dyDescent="0.25">
      <c r="B43" s="54" t="s">
        <v>732</v>
      </c>
      <c r="C43" s="55">
        <v>1</v>
      </c>
      <c r="D43" s="56" t="s">
        <v>104</v>
      </c>
      <c r="E43" s="57">
        <v>20000000000</v>
      </c>
      <c r="F43" s="232"/>
      <c r="G43" s="23"/>
      <c r="H43" s="53">
        <f t="shared" ref="H43:H46" si="5">+C43*E43</f>
        <v>20000000000</v>
      </c>
    </row>
    <row r="44" spans="2:8" x14ac:dyDescent="0.25">
      <c r="B44" s="54" t="s">
        <v>733</v>
      </c>
      <c r="C44" s="55">
        <v>1</v>
      </c>
      <c r="D44" s="56" t="s">
        <v>104</v>
      </c>
      <c r="E44" s="57">
        <v>20000000000</v>
      </c>
      <c r="F44" s="232"/>
      <c r="G44" s="23"/>
      <c r="H44" s="53">
        <f t="shared" si="5"/>
        <v>20000000000</v>
      </c>
    </row>
    <row r="45" spans="2:8" x14ac:dyDescent="0.25">
      <c r="B45" s="54" t="s">
        <v>734</v>
      </c>
      <c r="C45" s="55">
        <v>1</v>
      </c>
      <c r="D45" s="56" t="s">
        <v>104</v>
      </c>
      <c r="E45" s="57">
        <v>20000000000</v>
      </c>
      <c r="F45" s="232"/>
      <c r="G45" s="23"/>
      <c r="H45" s="53">
        <f t="shared" si="5"/>
        <v>20000000000</v>
      </c>
    </row>
    <row r="46" spans="2:8" x14ac:dyDescent="0.25">
      <c r="B46" s="54" t="s">
        <v>735</v>
      </c>
      <c r="C46" s="55">
        <v>1</v>
      </c>
      <c r="D46" s="56" t="s">
        <v>104</v>
      </c>
      <c r="E46" s="57">
        <v>20000000000</v>
      </c>
      <c r="F46" s="232"/>
      <c r="G46" s="23"/>
      <c r="H46" s="53">
        <f t="shared" si="5"/>
        <v>20000000000</v>
      </c>
    </row>
    <row r="47" spans="2:8" x14ac:dyDescent="0.25">
      <c r="B47" s="54" t="s">
        <v>737</v>
      </c>
      <c r="C47" s="55">
        <v>18</v>
      </c>
      <c r="D47" s="56" t="s">
        <v>739</v>
      </c>
      <c r="E47" s="57">
        <v>2130000000</v>
      </c>
      <c r="F47" s="232"/>
      <c r="G47" s="23"/>
      <c r="H47" s="53">
        <f>+C47*E47</f>
        <v>38340000000</v>
      </c>
    </row>
    <row r="48" spans="2:8" x14ac:dyDescent="0.25">
      <c r="B48" s="54" t="s">
        <v>738</v>
      </c>
      <c r="C48" s="55">
        <v>8</v>
      </c>
      <c r="D48" s="56" t="s">
        <v>739</v>
      </c>
      <c r="E48" s="57">
        <v>2130000000</v>
      </c>
      <c r="F48" s="232"/>
      <c r="G48" s="23"/>
      <c r="H48" s="53">
        <f>+C48*E48</f>
        <v>17040000000</v>
      </c>
    </row>
    <row r="49" spans="2:11" x14ac:dyDescent="0.25">
      <c r="B49" s="54" t="s">
        <v>740</v>
      </c>
      <c r="C49" s="55">
        <v>5</v>
      </c>
      <c r="D49" s="56" t="s">
        <v>739</v>
      </c>
      <c r="E49" s="57">
        <v>2130000000</v>
      </c>
      <c r="F49" s="232"/>
      <c r="G49" s="23"/>
      <c r="H49" s="53">
        <f>+C49*E49</f>
        <v>10650000000</v>
      </c>
    </row>
    <row r="50" spans="2:11" x14ac:dyDescent="0.25">
      <c r="B50" s="54" t="s">
        <v>741</v>
      </c>
      <c r="C50" s="55">
        <v>57</v>
      </c>
      <c r="D50" s="56" t="s">
        <v>739</v>
      </c>
      <c r="E50" s="57">
        <v>3000000000</v>
      </c>
      <c r="F50" s="232"/>
      <c r="G50" s="23"/>
      <c r="H50" s="53">
        <f>+C50*E50</f>
        <v>171000000000</v>
      </c>
      <c r="J50" s="81"/>
    </row>
    <row r="51" spans="2:11" x14ac:dyDescent="0.25">
      <c r="B51" s="54" t="s">
        <v>742</v>
      </c>
      <c r="C51" s="55">
        <v>25</v>
      </c>
      <c r="D51" s="56" t="s">
        <v>739</v>
      </c>
      <c r="E51" s="57">
        <v>2130000000</v>
      </c>
      <c r="F51" s="232"/>
      <c r="G51" s="23"/>
      <c r="H51" s="53">
        <f>+C51*E51</f>
        <v>53250000000</v>
      </c>
      <c r="J51" s="81"/>
    </row>
    <row r="52" spans="2:11" ht="24.75" x14ac:dyDescent="0.25">
      <c r="B52" s="54" t="s">
        <v>736</v>
      </c>
      <c r="C52" s="21"/>
      <c r="D52" s="14"/>
      <c r="E52" s="49"/>
      <c r="F52" s="232"/>
      <c r="G52" s="23"/>
      <c r="H52" s="53" t="str">
        <f>+Parámetros!C4</f>
        <v>Presupuesto relativo</v>
      </c>
    </row>
    <row r="53" spans="2:11" x14ac:dyDescent="0.25">
      <c r="B53" s="102" t="s">
        <v>46</v>
      </c>
      <c r="C53" s="20"/>
      <c r="D53" s="20"/>
      <c r="E53" s="20"/>
      <c r="F53" s="20"/>
      <c r="G53" s="20"/>
      <c r="H53" s="119">
        <f>SUM(H42:H52)</f>
        <v>390280000000</v>
      </c>
    </row>
    <row r="54" spans="2:11" ht="56.25" customHeight="1" x14ac:dyDescent="0.25">
      <c r="B54" s="301" t="s">
        <v>743</v>
      </c>
      <c r="C54" s="301"/>
      <c r="D54" s="301"/>
      <c r="E54" s="301"/>
      <c r="F54" s="301"/>
      <c r="G54" s="301"/>
      <c r="H54" s="301"/>
    </row>
    <row r="55" spans="2:11" x14ac:dyDescent="0.25">
      <c r="J55" s="270"/>
      <c r="K55" s="271"/>
    </row>
    <row r="56" spans="2:11" x14ac:dyDescent="0.25">
      <c r="J56" s="81"/>
      <c r="K56" s="81"/>
    </row>
    <row r="57" spans="2:11" x14ac:dyDescent="0.25">
      <c r="B57" s="13" t="s">
        <v>717</v>
      </c>
      <c r="C57" s="13" t="s">
        <v>40</v>
      </c>
      <c r="D57" s="13" t="s">
        <v>41</v>
      </c>
      <c r="E57" s="13" t="s">
        <v>42</v>
      </c>
      <c r="F57" s="13" t="s">
        <v>43</v>
      </c>
      <c r="G57" s="13" t="s">
        <v>44</v>
      </c>
      <c r="J57" s="81"/>
      <c r="K57" s="81"/>
    </row>
    <row r="58" spans="2:11" x14ac:dyDescent="0.25">
      <c r="B58" s="122" t="s">
        <v>205</v>
      </c>
      <c r="C58" s="21">
        <v>3</v>
      </c>
      <c r="D58" s="14" t="s">
        <v>199</v>
      </c>
      <c r="E58" s="77">
        <v>30000000</v>
      </c>
      <c r="F58" s="23"/>
      <c r="G58" s="96">
        <f>+C58*E58</f>
        <v>90000000</v>
      </c>
      <c r="J58" s="81"/>
      <c r="K58" s="81"/>
    </row>
    <row r="59" spans="2:11" ht="24" x14ac:dyDescent="0.25">
      <c r="B59" s="122" t="s">
        <v>718</v>
      </c>
      <c r="C59" s="106"/>
      <c r="D59" s="107"/>
      <c r="E59" s="144"/>
      <c r="F59" s="108"/>
      <c r="G59" s="53" t="str">
        <f>+Parámetros!C4</f>
        <v>Presupuesto relativo</v>
      </c>
    </row>
    <row r="60" spans="2:11" x14ac:dyDescent="0.25">
      <c r="B60" s="292" t="s">
        <v>107</v>
      </c>
      <c r="C60" s="293"/>
      <c r="D60" s="293"/>
      <c r="E60" s="293"/>
      <c r="F60" s="294"/>
      <c r="G60" s="255">
        <f>SUM(G58)</f>
        <v>90000000</v>
      </c>
    </row>
    <row r="61" spans="2:11" x14ac:dyDescent="0.25">
      <c r="B61" s="234" t="s">
        <v>719</v>
      </c>
      <c r="C61" s="59"/>
      <c r="D61" s="59"/>
      <c r="E61" s="59"/>
      <c r="F61" s="59"/>
      <c r="G61" s="244"/>
    </row>
  </sheetData>
  <sheetProtection sheet="1" formatCells="0" formatColumns="0" formatRows="0" insertColumns="0" insertRows="0" insertHyperlinks="0" deleteColumns="0" deleteRows="0" sort="0" autoFilter="0" pivotTables="0"/>
  <mergeCells count="2">
    <mergeCell ref="B60:F60"/>
    <mergeCell ref="B54:H5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20"/>
  <dimension ref="B2:X55"/>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4.7109375" style="1" bestFit="1" customWidth="1"/>
    <col min="5" max="6" width="14" style="1" bestFit="1" customWidth="1"/>
    <col min="7" max="7" width="13.85546875" style="1" bestFit="1" customWidth="1"/>
    <col min="8" max="8" width="13.42578125" style="1" bestFit="1" customWidth="1"/>
    <col min="9" max="18" width="13.7109375" style="1" bestFit="1" customWidth="1"/>
    <col min="19" max="19" width="14" style="1" bestFit="1" customWidth="1"/>
    <col min="20" max="22" width="13.7109375" style="1" bestFit="1" customWidth="1"/>
    <col min="23" max="23" width="14.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detallado'!B116</f>
        <v xml:space="preserve">PROGRAMA 7. Información y gestión del conocimiento </v>
      </c>
    </row>
    <row r="5" spans="2:24" x14ac:dyDescent="0.25">
      <c r="B5" s="15" t="str">
        <f>+'Presupuesto detallado'!B117</f>
        <v>7.1. Mejora de la calidad de la información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78" customHeight="1" x14ac:dyDescent="0.25">
      <c r="B8" s="18" t="str">
        <f>+'Presupuesto detallado'!B118</f>
        <v>7.1.1. Identificación de las necesidades de información de la cadena de arroz, determinando las fuentes y variables, periodicidad de recolección, periodos disponibles, nivel de desagregación geográfica, validaciones aplicadas, periodicidad de publicación, enlace de difusión, entre otros criterios</v>
      </c>
      <c r="C8" s="19" t="s">
        <v>169</v>
      </c>
      <c r="D8" s="53"/>
      <c r="E8" s="53">
        <f>+H22</f>
        <v>309709224.5</v>
      </c>
      <c r="F8" s="53">
        <f>+H22</f>
        <v>309709224.5</v>
      </c>
      <c r="G8" s="53"/>
      <c r="H8" s="53"/>
      <c r="I8" s="53"/>
      <c r="J8" s="53">
        <f>+H15</f>
        <v>63298889.5</v>
      </c>
      <c r="K8" s="20"/>
      <c r="L8" s="53"/>
      <c r="M8" s="20"/>
      <c r="N8" s="53">
        <f>+H15</f>
        <v>63298889.5</v>
      </c>
      <c r="O8" s="20"/>
      <c r="P8" s="53"/>
      <c r="Q8" s="20"/>
      <c r="R8" s="53">
        <f>+H15</f>
        <v>63298889.5</v>
      </c>
      <c r="S8" s="53"/>
      <c r="T8" s="53"/>
      <c r="U8" s="20"/>
      <c r="V8" s="53">
        <f>+H15</f>
        <v>63298889.5</v>
      </c>
      <c r="W8" s="53">
        <f>SUM(D8:V8)</f>
        <v>872614007</v>
      </c>
    </row>
    <row r="9" spans="2:24" ht="60" x14ac:dyDescent="0.25">
      <c r="B9" s="18" t="str">
        <f>+'Presupuesto detallado'!B119</f>
        <v>7.1.2. Identificación e implementación de prácticas y criterios para asegurar la calidad de la información, definiendo la participación y los roles de cada uno de los actores generadores de información de la cadena de arroz</v>
      </c>
      <c r="C9" s="19" t="s">
        <v>286</v>
      </c>
      <c r="D9" s="20"/>
      <c r="E9" s="53">
        <f>+H29</f>
        <v>264002689.5</v>
      </c>
      <c r="F9" s="53">
        <f>+H29</f>
        <v>264002689.5</v>
      </c>
      <c r="G9" s="53"/>
      <c r="H9" s="53"/>
      <c r="I9" s="53"/>
      <c r="J9" s="20"/>
      <c r="K9" s="20"/>
      <c r="L9" s="20"/>
      <c r="M9" s="20"/>
      <c r="N9" s="20"/>
      <c r="O9" s="20"/>
      <c r="P9" s="20"/>
      <c r="Q9" s="20"/>
      <c r="R9" s="20"/>
      <c r="S9" s="53"/>
      <c r="T9" s="20"/>
      <c r="U9" s="20"/>
      <c r="V9" s="20"/>
      <c r="W9" s="53">
        <f>SUM(D9:V9)</f>
        <v>528005379</v>
      </c>
    </row>
    <row r="10" spans="2:24" ht="39" customHeight="1" x14ac:dyDescent="0.25">
      <c r="B10" s="18" t="str">
        <f>+'Presupuesto detallado'!B120</f>
        <v>7.1.3. Fortalecimiento de la capacidad técnica y la infraestructura tecnológica de los actores generadores de la información de la cadena de arroz</v>
      </c>
      <c r="C10" s="19" t="s">
        <v>119</v>
      </c>
      <c r="D10" s="20"/>
      <c r="E10" s="53">
        <f>+$H$38</f>
        <v>414002689.5</v>
      </c>
      <c r="F10" s="53">
        <f t="shared" ref="F10:I10" si="0">+$H$38</f>
        <v>414002689.5</v>
      </c>
      <c r="G10" s="53">
        <f t="shared" si="0"/>
        <v>414002689.5</v>
      </c>
      <c r="H10" s="53">
        <f t="shared" si="0"/>
        <v>414002689.5</v>
      </c>
      <c r="I10" s="53">
        <f t="shared" si="0"/>
        <v>414002689.5</v>
      </c>
      <c r="J10" s="53" t="str">
        <f t="shared" ref="J10:V10" si="1">+$H$37</f>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2070013447.5</v>
      </c>
    </row>
    <row r="11" spans="2:24" ht="36" x14ac:dyDescent="0.25">
      <c r="B11" s="18" t="str">
        <f>+'Presupuesto detallado'!B121</f>
        <v xml:space="preserve">7.1.4. Articulación e interoperabilidad de las fuentes de datos de la cadena de arroz, con el Sistema de información del sector agropecuario </v>
      </c>
      <c r="C11" s="19" t="s">
        <v>287</v>
      </c>
      <c r="D11" s="20"/>
      <c r="E11" s="53">
        <f>+H45</f>
        <v>134317155.5</v>
      </c>
      <c r="F11" s="53">
        <f>+H45</f>
        <v>134317155.5</v>
      </c>
      <c r="G11" s="53"/>
      <c r="H11" s="53"/>
      <c r="I11" s="53"/>
      <c r="J11" s="53"/>
      <c r="K11" s="53">
        <f>+H45</f>
        <v>134317155.5</v>
      </c>
      <c r="L11" s="53"/>
      <c r="M11" s="20"/>
      <c r="N11" s="20"/>
      <c r="O11" s="20"/>
      <c r="P11" s="53">
        <f>+H45</f>
        <v>134317155.5</v>
      </c>
      <c r="Q11" s="20"/>
      <c r="R11" s="20"/>
      <c r="S11" s="20"/>
      <c r="T11" s="20"/>
      <c r="U11" s="53">
        <f>+H45</f>
        <v>134317155.5</v>
      </c>
      <c r="V11" s="20"/>
      <c r="W11" s="53">
        <f>SUM(D11:V11)</f>
        <v>671585777.5</v>
      </c>
    </row>
    <row r="12" spans="2:24" ht="39" customHeight="1" x14ac:dyDescent="0.25">
      <c r="B12" s="18" t="str">
        <f>+'Presupuesto detallado'!B122</f>
        <v xml:space="preserve">7.1.5. Levantamiento, actualización y publicación de información estadística y geográfica acorde con las necesidades identificadas para la cadena de arroz </v>
      </c>
      <c r="C12" s="19" t="s">
        <v>174</v>
      </c>
      <c r="D12" s="20"/>
      <c r="E12" s="53"/>
      <c r="F12" s="53">
        <f>+$G$54</f>
        <v>1931176934</v>
      </c>
      <c r="G12" s="53">
        <f t="shared" ref="G12:J12" si="2">+$G$54</f>
        <v>1931176934</v>
      </c>
      <c r="H12" s="53">
        <f t="shared" si="2"/>
        <v>1931176934</v>
      </c>
      <c r="I12" s="53">
        <f t="shared" si="2"/>
        <v>1931176934</v>
      </c>
      <c r="J12" s="53">
        <f t="shared" si="2"/>
        <v>1931176934</v>
      </c>
      <c r="K12" s="53">
        <f>+$G$49+$G$50+$G$52</f>
        <v>958535429</v>
      </c>
      <c r="L12" s="53">
        <f t="shared" ref="L12:V12" si="3">+$G$49+$G$50+$G$52</f>
        <v>958535429</v>
      </c>
      <c r="M12" s="53">
        <f t="shared" si="3"/>
        <v>958535429</v>
      </c>
      <c r="N12" s="53">
        <f t="shared" si="3"/>
        <v>958535429</v>
      </c>
      <c r="O12" s="53">
        <f t="shared" si="3"/>
        <v>958535429</v>
      </c>
      <c r="P12" s="53">
        <f t="shared" si="3"/>
        <v>958535429</v>
      </c>
      <c r="Q12" s="53">
        <f t="shared" si="3"/>
        <v>958535429</v>
      </c>
      <c r="R12" s="53">
        <f t="shared" si="3"/>
        <v>958535429</v>
      </c>
      <c r="S12" s="53">
        <f t="shared" si="3"/>
        <v>958535429</v>
      </c>
      <c r="T12" s="53">
        <f t="shared" si="3"/>
        <v>958535429</v>
      </c>
      <c r="U12" s="53">
        <f t="shared" si="3"/>
        <v>958535429</v>
      </c>
      <c r="V12" s="53">
        <f t="shared" si="3"/>
        <v>958535429</v>
      </c>
      <c r="W12" s="53">
        <f>SUM(D12:V12)</f>
        <v>21158309818</v>
      </c>
    </row>
    <row r="13" spans="2:24" ht="24" customHeight="1" x14ac:dyDescent="0.25">
      <c r="W13" s="150">
        <f>SUM(W8:W12)</f>
        <v>25300528429</v>
      </c>
    </row>
    <row r="14" spans="2:24" x14ac:dyDescent="0.25">
      <c r="B14" s="13" t="s">
        <v>470</v>
      </c>
      <c r="C14" s="13" t="s">
        <v>40</v>
      </c>
      <c r="D14" s="13" t="s">
        <v>41</v>
      </c>
      <c r="E14" s="13" t="s">
        <v>42</v>
      </c>
      <c r="F14" s="13" t="s">
        <v>554</v>
      </c>
      <c r="G14" s="13" t="s">
        <v>43</v>
      </c>
      <c r="H14" s="13" t="s">
        <v>44</v>
      </c>
      <c r="W14" s="150">
        <f>+'Presupuesto detallado'!V117</f>
        <v>25300528429</v>
      </c>
    </row>
    <row r="15" spans="2:24" x14ac:dyDescent="0.25">
      <c r="B15" s="14" t="s">
        <v>666</v>
      </c>
      <c r="C15" s="21">
        <v>1</v>
      </c>
      <c r="D15" s="14" t="s">
        <v>100</v>
      </c>
      <c r="E15" s="77">
        <f>+Parámetros!D11</f>
        <v>11508889</v>
      </c>
      <c r="F15" s="118">
        <v>0.5</v>
      </c>
      <c r="G15" s="23">
        <v>11</v>
      </c>
      <c r="H15" s="77">
        <f>+C15*E15*G15*F15</f>
        <v>63298889.5</v>
      </c>
      <c r="W15" s="201">
        <f>+W13-W14</f>
        <v>0</v>
      </c>
    </row>
    <row r="16" spans="2:24" x14ac:dyDescent="0.25">
      <c r="B16" s="14" t="s">
        <v>305</v>
      </c>
      <c r="C16" s="21">
        <v>1</v>
      </c>
      <c r="D16" s="14" t="s">
        <v>100</v>
      </c>
      <c r="E16" s="77">
        <f>+Parámetros!D14</f>
        <v>7017615</v>
      </c>
      <c r="F16" s="118">
        <v>0.5</v>
      </c>
      <c r="G16" s="23">
        <v>11</v>
      </c>
      <c r="H16" s="77">
        <f>+C16*E16*G16*F16</f>
        <v>38596882.5</v>
      </c>
    </row>
    <row r="17" spans="2:8" x14ac:dyDescent="0.25">
      <c r="B17" s="14" t="s">
        <v>557</v>
      </c>
      <c r="C17" s="21">
        <v>5</v>
      </c>
      <c r="D17" s="14" t="s">
        <v>100</v>
      </c>
      <c r="E17" s="77">
        <f>+Parámetros!D16</f>
        <v>5894797</v>
      </c>
      <c r="F17" s="118">
        <v>0.5</v>
      </c>
      <c r="G17" s="23">
        <v>11</v>
      </c>
      <c r="H17" s="77">
        <f>+C17*E17*G17*F17</f>
        <v>162106917.5</v>
      </c>
    </row>
    <row r="18" spans="2:8" x14ac:dyDescent="0.25">
      <c r="B18" s="14" t="s">
        <v>106</v>
      </c>
      <c r="C18" s="21">
        <v>2</v>
      </c>
      <c r="D18" s="14" t="s">
        <v>214</v>
      </c>
      <c r="E18" s="77">
        <v>3000000</v>
      </c>
      <c r="F18" s="118"/>
      <c r="G18" s="23"/>
      <c r="H18" s="77">
        <f>+C18*E18</f>
        <v>6000000</v>
      </c>
    </row>
    <row r="19" spans="2:8" x14ac:dyDescent="0.25">
      <c r="B19" s="14" t="s">
        <v>105</v>
      </c>
      <c r="C19" s="21">
        <v>6</v>
      </c>
      <c r="D19" s="14" t="s">
        <v>214</v>
      </c>
      <c r="E19" s="77">
        <v>5000000</v>
      </c>
      <c r="F19" s="118"/>
      <c r="G19" s="23"/>
      <c r="H19" s="77">
        <f>+C19*E19</f>
        <v>30000000</v>
      </c>
    </row>
    <row r="20" spans="2:8" x14ac:dyDescent="0.25">
      <c r="B20" s="14" t="s">
        <v>45</v>
      </c>
      <c r="C20" s="21">
        <v>15</v>
      </c>
      <c r="D20" s="14" t="s">
        <v>720</v>
      </c>
      <c r="E20" s="77">
        <f>+Parámetros!D26</f>
        <v>313769</v>
      </c>
      <c r="F20" s="118"/>
      <c r="G20" s="23"/>
      <c r="H20" s="77">
        <f>+C20*E20</f>
        <v>4706535</v>
      </c>
    </row>
    <row r="21" spans="2:8" x14ac:dyDescent="0.25">
      <c r="B21" s="14" t="s">
        <v>193</v>
      </c>
      <c r="C21" s="21">
        <v>5</v>
      </c>
      <c r="D21" s="14" t="s">
        <v>194</v>
      </c>
      <c r="E21" s="77">
        <f>+Parámetros!C32</f>
        <v>1000000</v>
      </c>
      <c r="F21" s="118"/>
      <c r="G21" s="23"/>
      <c r="H21" s="77">
        <f>+C21*E21</f>
        <v>5000000</v>
      </c>
    </row>
    <row r="22" spans="2:8" x14ac:dyDescent="0.25">
      <c r="B22" s="24" t="s">
        <v>46</v>
      </c>
      <c r="C22" s="25"/>
      <c r="D22" s="14"/>
      <c r="E22" s="13"/>
      <c r="F22" s="13"/>
      <c r="G22" s="13"/>
      <c r="H22" s="26">
        <f>SUM(H15:H21)</f>
        <v>309709224.5</v>
      </c>
    </row>
    <row r="23" spans="2:8" x14ac:dyDescent="0.25">
      <c r="B23" s="5"/>
      <c r="C23" s="5"/>
      <c r="D23" s="5"/>
      <c r="E23" s="5"/>
      <c r="F23" s="5"/>
      <c r="G23" s="5"/>
      <c r="H23" s="5"/>
    </row>
    <row r="24" spans="2:8" x14ac:dyDescent="0.25">
      <c r="B24" s="5"/>
      <c r="C24" s="5"/>
      <c r="D24" s="5"/>
      <c r="E24" s="5"/>
      <c r="F24" s="5"/>
      <c r="G24" s="5"/>
      <c r="H24" s="5"/>
    </row>
    <row r="25" spans="2:8" x14ac:dyDescent="0.25">
      <c r="B25" s="13" t="s">
        <v>471</v>
      </c>
      <c r="C25" s="13" t="s">
        <v>40</v>
      </c>
      <c r="D25" s="13" t="s">
        <v>41</v>
      </c>
      <c r="E25" s="13" t="s">
        <v>42</v>
      </c>
      <c r="F25" s="13" t="s">
        <v>554</v>
      </c>
      <c r="G25" s="13" t="s">
        <v>43</v>
      </c>
      <c r="H25" s="13" t="s">
        <v>44</v>
      </c>
    </row>
    <row r="26" spans="2:8" x14ac:dyDescent="0.25">
      <c r="B26" s="14" t="s">
        <v>666</v>
      </c>
      <c r="C26" s="21">
        <v>1</v>
      </c>
      <c r="D26" s="14" t="s">
        <v>100</v>
      </c>
      <c r="E26" s="77">
        <f>+Parámetros!D11</f>
        <v>11508889</v>
      </c>
      <c r="F26" s="118">
        <v>0.5</v>
      </c>
      <c r="G26" s="23">
        <v>11</v>
      </c>
      <c r="H26" s="77">
        <f>+C26*E26*G26*F26</f>
        <v>63298889.5</v>
      </c>
    </row>
    <row r="27" spans="2:8" x14ac:dyDescent="0.25">
      <c r="B27" s="14" t="s">
        <v>305</v>
      </c>
      <c r="C27" s="21">
        <v>1</v>
      </c>
      <c r="D27" s="14" t="s">
        <v>100</v>
      </c>
      <c r="E27" s="77">
        <f>+Parámetros!D14</f>
        <v>7017615</v>
      </c>
      <c r="F27" s="118">
        <v>0.5</v>
      </c>
      <c r="G27" s="23">
        <v>11</v>
      </c>
      <c r="H27" s="77">
        <f t="shared" ref="H27:H28" si="4">+C27*E27*G27*F27</f>
        <v>38596882.5</v>
      </c>
    </row>
    <row r="28" spans="2:8" x14ac:dyDescent="0.25">
      <c r="B28" s="14" t="s">
        <v>557</v>
      </c>
      <c r="C28" s="21">
        <v>5</v>
      </c>
      <c r="D28" s="14" t="s">
        <v>100</v>
      </c>
      <c r="E28" s="77">
        <f>+Parámetros!D16</f>
        <v>5894797</v>
      </c>
      <c r="F28" s="118">
        <v>0.5</v>
      </c>
      <c r="G28" s="23">
        <v>11</v>
      </c>
      <c r="H28" s="77">
        <f t="shared" si="4"/>
        <v>162106917.5</v>
      </c>
    </row>
    <row r="29" spans="2:8" x14ac:dyDescent="0.25">
      <c r="B29" s="24" t="s">
        <v>46</v>
      </c>
      <c r="C29" s="25"/>
      <c r="D29" s="14"/>
      <c r="E29" s="13"/>
      <c r="F29" s="20"/>
      <c r="G29" s="13"/>
      <c r="H29" s="26">
        <f>SUM(H26:H28)</f>
        <v>264002689.5</v>
      </c>
    </row>
    <row r="30" spans="2:8" x14ac:dyDescent="0.25">
      <c r="B30" s="59"/>
      <c r="C30" s="90"/>
      <c r="D30" s="91"/>
      <c r="E30" s="92"/>
      <c r="F30" s="92"/>
      <c r="G30" s="93"/>
      <c r="H30" s="5"/>
    </row>
    <row r="32" spans="2:8" x14ac:dyDescent="0.25">
      <c r="B32" s="13" t="s">
        <v>472</v>
      </c>
      <c r="C32" s="13" t="s">
        <v>40</v>
      </c>
      <c r="D32" s="13" t="s">
        <v>41</v>
      </c>
      <c r="E32" s="13" t="s">
        <v>42</v>
      </c>
      <c r="F32" s="13" t="s">
        <v>554</v>
      </c>
      <c r="G32" s="13" t="s">
        <v>43</v>
      </c>
      <c r="H32" s="13" t="s">
        <v>44</v>
      </c>
    </row>
    <row r="33" spans="2:9" x14ac:dyDescent="0.25">
      <c r="B33" s="14" t="s">
        <v>641</v>
      </c>
      <c r="C33" s="21">
        <v>1</v>
      </c>
      <c r="D33" s="14" t="s">
        <v>100</v>
      </c>
      <c r="E33" s="77">
        <f>+Parámetros!D11</f>
        <v>11508889</v>
      </c>
      <c r="F33" s="118">
        <v>0.5</v>
      </c>
      <c r="G33" s="23">
        <v>11</v>
      </c>
      <c r="H33" s="77">
        <f>+C33*E33*G33*F33</f>
        <v>63298889.5</v>
      </c>
    </row>
    <row r="34" spans="2:9" x14ac:dyDescent="0.25">
      <c r="B34" s="14" t="s">
        <v>305</v>
      </c>
      <c r="C34" s="21">
        <v>1</v>
      </c>
      <c r="D34" s="14" t="s">
        <v>100</v>
      </c>
      <c r="E34" s="77">
        <f>+Parámetros!D14</f>
        <v>7017615</v>
      </c>
      <c r="F34" s="118">
        <v>0.5</v>
      </c>
      <c r="G34" s="23">
        <v>11</v>
      </c>
      <c r="H34" s="77">
        <f t="shared" ref="H34:H35" si="5">+C34*E34*G34*F34</f>
        <v>38596882.5</v>
      </c>
    </row>
    <row r="35" spans="2:9" x14ac:dyDescent="0.25">
      <c r="B35" s="14" t="s">
        <v>557</v>
      </c>
      <c r="C35" s="21">
        <v>5</v>
      </c>
      <c r="D35" s="14" t="s">
        <v>100</v>
      </c>
      <c r="E35" s="77">
        <f>+Parámetros!D16</f>
        <v>5894797</v>
      </c>
      <c r="F35" s="118">
        <v>0.5</v>
      </c>
      <c r="G35" s="23">
        <v>11</v>
      </c>
      <c r="H35" s="77">
        <f t="shared" si="5"/>
        <v>162106917.5</v>
      </c>
    </row>
    <row r="36" spans="2:9" x14ac:dyDescent="0.25">
      <c r="B36" s="14" t="s">
        <v>205</v>
      </c>
      <c r="C36" s="21">
        <v>5</v>
      </c>
      <c r="D36" s="14" t="s">
        <v>104</v>
      </c>
      <c r="E36" s="77">
        <v>30000000</v>
      </c>
      <c r="F36" s="118"/>
      <c r="G36" s="23"/>
      <c r="H36" s="77">
        <f>+C36*E36</f>
        <v>150000000</v>
      </c>
      <c r="I36" s="178"/>
    </row>
    <row r="37" spans="2:9" ht="24.75" x14ac:dyDescent="0.25">
      <c r="B37" s="56" t="s">
        <v>200</v>
      </c>
      <c r="C37" s="21"/>
      <c r="D37" s="14"/>
      <c r="E37" s="22"/>
      <c r="F37" s="20"/>
      <c r="G37" s="23"/>
      <c r="H37" s="96" t="str">
        <f>+Parámetros!C4</f>
        <v>Presupuesto relativo</v>
      </c>
    </row>
    <row r="38" spans="2:9" x14ac:dyDescent="0.25">
      <c r="B38" s="24" t="s">
        <v>209</v>
      </c>
      <c r="C38" s="25"/>
      <c r="D38" s="14"/>
      <c r="E38" s="13"/>
      <c r="F38" s="20"/>
      <c r="G38" s="13"/>
      <c r="H38" s="95">
        <f>SUM(H33:H37)</f>
        <v>414002689.5</v>
      </c>
    </row>
    <row r="39" spans="2:9" x14ac:dyDescent="0.25">
      <c r="B39" s="59"/>
      <c r="C39" s="90"/>
      <c r="D39" s="91"/>
      <c r="E39" s="92"/>
      <c r="F39" s="92"/>
      <c r="G39" s="94"/>
    </row>
    <row r="40" spans="2:9" x14ac:dyDescent="0.25">
      <c r="B40" s="59"/>
      <c r="C40" s="90"/>
      <c r="D40" s="91"/>
      <c r="E40" s="92"/>
      <c r="F40" s="92"/>
      <c r="G40" s="94"/>
    </row>
    <row r="41" spans="2:9" x14ac:dyDescent="0.25">
      <c r="B41" s="13" t="s">
        <v>473</v>
      </c>
      <c r="C41" s="13" t="s">
        <v>40</v>
      </c>
      <c r="D41" s="13" t="s">
        <v>41</v>
      </c>
      <c r="E41" s="13" t="s">
        <v>42</v>
      </c>
      <c r="F41" s="13" t="s">
        <v>554</v>
      </c>
      <c r="G41" s="13" t="s">
        <v>43</v>
      </c>
      <c r="H41" s="13" t="s">
        <v>44</v>
      </c>
    </row>
    <row r="42" spans="2:9" x14ac:dyDescent="0.25">
      <c r="B42" s="14" t="s">
        <v>666</v>
      </c>
      <c r="C42" s="21">
        <v>1</v>
      </c>
      <c r="D42" s="14" t="s">
        <v>100</v>
      </c>
      <c r="E42" s="77">
        <f>+Parámetros!D11</f>
        <v>11508889</v>
      </c>
      <c r="F42" s="118">
        <v>0.5</v>
      </c>
      <c r="G42" s="23">
        <v>11</v>
      </c>
      <c r="H42" s="77">
        <f>+C42*E42*G42*F42</f>
        <v>63298889.5</v>
      </c>
    </row>
    <row r="43" spans="2:9" x14ac:dyDescent="0.25">
      <c r="B43" s="14" t="s">
        <v>305</v>
      </c>
      <c r="C43" s="21">
        <v>1</v>
      </c>
      <c r="D43" s="14" t="s">
        <v>100</v>
      </c>
      <c r="E43" s="77">
        <f>+Parámetros!D14</f>
        <v>7017615</v>
      </c>
      <c r="F43" s="118">
        <v>0.5</v>
      </c>
      <c r="G43" s="23">
        <v>11</v>
      </c>
      <c r="H43" s="77">
        <f t="shared" ref="H43:H44" si="6">+C43*E43*G43*F43</f>
        <v>38596882.5</v>
      </c>
    </row>
    <row r="44" spans="2:9" x14ac:dyDescent="0.25">
      <c r="B44" s="14" t="s">
        <v>557</v>
      </c>
      <c r="C44" s="21">
        <v>1</v>
      </c>
      <c r="D44" s="14" t="s">
        <v>100</v>
      </c>
      <c r="E44" s="77">
        <f>+Parámetros!D16</f>
        <v>5894797</v>
      </c>
      <c r="F44" s="118">
        <v>0.5</v>
      </c>
      <c r="G44" s="23">
        <v>11</v>
      </c>
      <c r="H44" s="77">
        <f t="shared" si="6"/>
        <v>32421383.5</v>
      </c>
    </row>
    <row r="45" spans="2:9" x14ac:dyDescent="0.25">
      <c r="B45" s="24" t="s">
        <v>46</v>
      </c>
      <c r="C45" s="25"/>
      <c r="D45" s="14"/>
      <c r="E45" s="13"/>
      <c r="F45" s="118"/>
      <c r="G45" s="13"/>
      <c r="H45" s="26">
        <f>SUM(H42:H44)</f>
        <v>134317155.5</v>
      </c>
    </row>
    <row r="46" spans="2:9" x14ac:dyDescent="0.25">
      <c r="B46" s="59"/>
      <c r="C46" s="90"/>
      <c r="D46" s="91"/>
      <c r="E46" s="92"/>
      <c r="F46" s="92"/>
      <c r="G46" s="93"/>
    </row>
    <row r="48" spans="2:9" x14ac:dyDescent="0.25">
      <c r="B48" s="13" t="s">
        <v>474</v>
      </c>
      <c r="C48" s="13" t="s">
        <v>40</v>
      </c>
      <c r="D48" s="13" t="s">
        <v>41</v>
      </c>
      <c r="E48" s="13" t="s">
        <v>42</v>
      </c>
      <c r="F48" s="13" t="s">
        <v>43</v>
      </c>
      <c r="G48" s="13" t="s">
        <v>44</v>
      </c>
    </row>
    <row r="49" spans="2:8" x14ac:dyDescent="0.25">
      <c r="B49" s="18" t="s">
        <v>551</v>
      </c>
      <c r="C49" s="21">
        <v>1</v>
      </c>
      <c r="D49" s="14" t="s">
        <v>100</v>
      </c>
      <c r="E49" s="77">
        <f>+Parámetros!D11</f>
        <v>11508889</v>
      </c>
      <c r="F49" s="23">
        <v>11</v>
      </c>
      <c r="G49" s="96">
        <f>+C49*E49*F49</f>
        <v>126597779</v>
      </c>
      <c r="H49" s="5"/>
    </row>
    <row r="50" spans="2:8" x14ac:dyDescent="0.25">
      <c r="B50" s="18" t="s">
        <v>721</v>
      </c>
      <c r="C50" s="21">
        <v>10</v>
      </c>
      <c r="D50" s="14" t="s">
        <v>100</v>
      </c>
      <c r="E50" s="77">
        <f>+Parámetros!D14</f>
        <v>7017615</v>
      </c>
      <c r="F50" s="23">
        <v>11</v>
      </c>
      <c r="G50" s="96">
        <f>+C50*E50*F50</f>
        <v>771937650</v>
      </c>
      <c r="H50" s="5"/>
    </row>
    <row r="51" spans="2:8" x14ac:dyDescent="0.25">
      <c r="B51" s="18" t="s">
        <v>722</v>
      </c>
      <c r="C51" s="21">
        <v>15</v>
      </c>
      <c r="D51" s="14" t="s">
        <v>100</v>
      </c>
      <c r="E51" s="77">
        <f>+Parámetros!D16</f>
        <v>5894797</v>
      </c>
      <c r="F51" s="23">
        <v>11</v>
      </c>
      <c r="G51" s="96">
        <f>+C51*E51*F51</f>
        <v>972641505</v>
      </c>
      <c r="H51" s="5"/>
    </row>
    <row r="52" spans="2:8" x14ac:dyDescent="0.25">
      <c r="B52" s="18" t="s">
        <v>201</v>
      </c>
      <c r="C52" s="21">
        <v>3</v>
      </c>
      <c r="D52" s="14" t="s">
        <v>104</v>
      </c>
      <c r="E52" s="77">
        <v>20000000</v>
      </c>
      <c r="F52" s="23"/>
      <c r="G52" s="96">
        <f>+C52*E52</f>
        <v>60000000</v>
      </c>
      <c r="H52" s="5"/>
    </row>
    <row r="53" spans="2:8" ht="48" x14ac:dyDescent="0.25">
      <c r="B53" s="18" t="s">
        <v>723</v>
      </c>
      <c r="C53" s="21"/>
      <c r="D53" s="14"/>
      <c r="E53" s="77"/>
      <c r="F53" s="23"/>
      <c r="G53" s="146" t="str">
        <f>+Parámetros!C4</f>
        <v>Presupuesto relativo</v>
      </c>
      <c r="H53" s="5"/>
    </row>
    <row r="54" spans="2:8" x14ac:dyDescent="0.25">
      <c r="B54" s="24" t="s">
        <v>209</v>
      </c>
      <c r="C54" s="25"/>
      <c r="D54" s="14"/>
      <c r="E54" s="13"/>
      <c r="F54" s="13"/>
      <c r="G54" s="95">
        <f>SUM(G49:G53)</f>
        <v>1931176934</v>
      </c>
    </row>
    <row r="55" spans="2:8" x14ac:dyDescent="0.25">
      <c r="B55" s="5" t="s">
        <v>724</v>
      </c>
    </row>
  </sheetData>
  <sheetProtection sheet="1" formatCells="0" formatColumns="0" formatRows="0" insertColumns="0" insertRows="0" insertHyperlinks="0" deleteColumns="0" deleteRows="0" sort="0" autoFilter="0" pivotTables="0"/>
  <phoneticPr fontId="16" type="noConversion"/>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21"/>
  <dimension ref="B2:X5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 style="1" bestFit="1" customWidth="1"/>
    <col min="6" max="6" width="13" style="1" bestFit="1" customWidth="1"/>
    <col min="7" max="7" width="14.42578125" style="1" bestFit="1" customWidth="1"/>
    <col min="8" max="8" width="14" style="1" bestFit="1" customWidth="1"/>
    <col min="9" max="9" width="15.140625" style="1" bestFit="1" customWidth="1"/>
    <col min="10" max="21" width="12.28515625" style="1" bestFit="1" customWidth="1"/>
    <col min="22" max="22" width="13" style="1" bestFit="1" customWidth="1"/>
    <col min="23" max="23" width="14.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detallado'!B116</f>
        <v xml:space="preserve">PROGRAMA 7. Información y gestión del conocimiento </v>
      </c>
    </row>
    <row r="5" spans="2:24" x14ac:dyDescent="0.25">
      <c r="B5" s="15" t="str">
        <f>+'Presupuesto detallado'!B123</f>
        <v>7.2. Gestión oportuna y eficiente del conocimiento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60.75" customHeight="1" x14ac:dyDescent="0.25">
      <c r="B8" s="18" t="str">
        <f>+'Presupuesto detallado'!B124</f>
        <v>7.2.1. Desarrollo de estrategias comunicativas y de capacitación en gestión de información estratégica y operativa, para los actores generadores de información de la cadena de arroz</v>
      </c>
      <c r="C8" s="19" t="s">
        <v>284</v>
      </c>
      <c r="D8" s="20"/>
      <c r="E8" s="53">
        <f>+H18</f>
        <v>141895772</v>
      </c>
      <c r="F8" s="53">
        <f>+H17</f>
        <v>40000000</v>
      </c>
      <c r="G8" s="53">
        <f>+H17</f>
        <v>40000000</v>
      </c>
      <c r="H8" s="53"/>
      <c r="I8" s="20"/>
      <c r="J8" s="20"/>
      <c r="K8" s="53">
        <f>+H17</f>
        <v>40000000</v>
      </c>
      <c r="L8" s="20"/>
      <c r="M8" s="20"/>
      <c r="N8" s="53"/>
      <c r="O8" s="53">
        <f>+H17</f>
        <v>40000000</v>
      </c>
      <c r="P8" s="53"/>
      <c r="Q8" s="53"/>
      <c r="R8" s="53"/>
      <c r="S8" s="53">
        <f>+H17</f>
        <v>40000000</v>
      </c>
      <c r="T8" s="53"/>
      <c r="U8" s="53"/>
      <c r="V8" s="20"/>
      <c r="W8" s="53">
        <f>SUM(D8:V8)</f>
        <v>341895772</v>
      </c>
    </row>
    <row r="9" spans="2:24" ht="44.25" customHeight="1" x14ac:dyDescent="0.25">
      <c r="B9" s="18" t="str">
        <f>+'Presupuesto detallado'!B125</f>
        <v>7.2.2. Promoción y divulgación de la información, para la toma de decisiones por parte de los actores de la cadena de arroz</v>
      </c>
      <c r="C9" s="19" t="s">
        <v>174</v>
      </c>
      <c r="D9" s="20"/>
      <c r="E9" s="20"/>
      <c r="F9" s="53">
        <f>+G24</f>
        <v>260000000</v>
      </c>
      <c r="G9" s="53">
        <f>+G24</f>
        <v>260000000</v>
      </c>
      <c r="H9" s="53">
        <f>+$G$23</f>
        <v>20000000</v>
      </c>
      <c r="I9" s="53">
        <f t="shared" ref="I9:V9" si="0">+$G$23</f>
        <v>20000000</v>
      </c>
      <c r="J9" s="53">
        <f t="shared" si="0"/>
        <v>20000000</v>
      </c>
      <c r="K9" s="53">
        <f t="shared" si="0"/>
        <v>20000000</v>
      </c>
      <c r="L9" s="53">
        <f t="shared" si="0"/>
        <v>20000000</v>
      </c>
      <c r="M9" s="53">
        <f t="shared" si="0"/>
        <v>20000000</v>
      </c>
      <c r="N9" s="53">
        <f t="shared" si="0"/>
        <v>20000000</v>
      </c>
      <c r="O9" s="53">
        <f t="shared" si="0"/>
        <v>20000000</v>
      </c>
      <c r="P9" s="53">
        <f t="shared" si="0"/>
        <v>20000000</v>
      </c>
      <c r="Q9" s="53">
        <f t="shared" si="0"/>
        <v>20000000</v>
      </c>
      <c r="R9" s="53">
        <f t="shared" si="0"/>
        <v>20000000</v>
      </c>
      <c r="S9" s="53">
        <f t="shared" si="0"/>
        <v>20000000</v>
      </c>
      <c r="T9" s="53">
        <f t="shared" si="0"/>
        <v>20000000</v>
      </c>
      <c r="U9" s="53">
        <f t="shared" si="0"/>
        <v>20000000</v>
      </c>
      <c r="V9" s="53">
        <f t="shared" si="0"/>
        <v>20000000</v>
      </c>
      <c r="W9" s="53">
        <f>SUM(D9:V9)</f>
        <v>820000000</v>
      </c>
    </row>
    <row r="10" spans="2:24" ht="43.5" customHeight="1" x14ac:dyDescent="0.25">
      <c r="B10" s="18" t="str">
        <f>+'Presupuesto detallado'!B126</f>
        <v>7.2.3. Promoción de acciones encaminadas al uso de herramientas tecnológicas de la información para la cadena de arroz</v>
      </c>
      <c r="C10" s="19" t="s">
        <v>285</v>
      </c>
      <c r="D10" s="20"/>
      <c r="E10" s="20"/>
      <c r="F10" s="20"/>
      <c r="G10" s="53">
        <f>+$G$30</f>
        <v>120000000</v>
      </c>
      <c r="H10" s="53">
        <f>+$G$30</f>
        <v>120000000</v>
      </c>
      <c r="I10" s="53">
        <f>+$G$30</f>
        <v>120000000</v>
      </c>
      <c r="J10" s="53"/>
      <c r="K10" s="53"/>
      <c r="L10" s="53"/>
      <c r="M10" s="53"/>
      <c r="N10" s="53"/>
      <c r="O10" s="53"/>
      <c r="P10" s="20"/>
      <c r="Q10" s="20"/>
      <c r="R10" s="20"/>
      <c r="S10" s="20"/>
      <c r="T10" s="20"/>
      <c r="U10" s="20"/>
      <c r="V10" s="20"/>
      <c r="W10" s="53">
        <f>SUM(D10:V10)</f>
        <v>360000000</v>
      </c>
    </row>
    <row r="11" spans="2:24" ht="38.25" customHeight="1" x14ac:dyDescent="0.25">
      <c r="B11" s="18" t="str">
        <f>+'Presupuesto detallado'!B127</f>
        <v>7.2.4. Identificación, generación, difusión e intercambio de conocimientos (saberes y prácticas) y tecnologías de la cadena de arroz</v>
      </c>
      <c r="C11" s="19" t="s">
        <v>480</v>
      </c>
      <c r="D11" s="20"/>
      <c r="E11" s="20"/>
      <c r="F11" s="20"/>
      <c r="G11" s="53">
        <f>+$H$37</f>
        <v>286283302</v>
      </c>
      <c r="H11" s="53">
        <f t="shared" ref="H11:I11" si="1">+$H$37</f>
        <v>286283302</v>
      </c>
      <c r="I11" s="53">
        <f t="shared" si="1"/>
        <v>286283302</v>
      </c>
      <c r="J11" s="53" t="str">
        <f t="shared" ref="J11:Q11" si="2">+$H$39</f>
        <v>Presupuesto relativo</v>
      </c>
      <c r="K11" s="53" t="str">
        <f t="shared" si="2"/>
        <v>Presupuesto relativo</v>
      </c>
      <c r="L11" s="53" t="str">
        <f t="shared" si="2"/>
        <v>Presupuesto relativo</v>
      </c>
      <c r="M11" s="53" t="str">
        <f t="shared" si="2"/>
        <v>Presupuesto relativo</v>
      </c>
      <c r="N11" s="53" t="str">
        <f t="shared" si="2"/>
        <v>Presupuesto relativo</v>
      </c>
      <c r="O11" s="53" t="str">
        <f t="shared" si="2"/>
        <v>Presupuesto relativo</v>
      </c>
      <c r="P11" s="53" t="str">
        <f t="shared" si="2"/>
        <v>Presupuesto relativo</v>
      </c>
      <c r="Q11" s="53" t="str">
        <f t="shared" si="2"/>
        <v>Presupuesto relativo</v>
      </c>
      <c r="R11" s="20"/>
      <c r="S11" s="20"/>
      <c r="T11" s="20"/>
      <c r="U11" s="20"/>
      <c r="V11" s="20"/>
      <c r="W11" s="53">
        <f>SUM(D11:V11)</f>
        <v>858849906</v>
      </c>
    </row>
    <row r="12" spans="2:24" ht="72" x14ac:dyDescent="0.25">
      <c r="B12" s="18" t="str">
        <f>+'Presupuesto detallado'!B128</f>
        <v>7.2.5. Generación de análisis y estudios especializados para la cadena de arroz (estudios de sostenibilidad ambiental, social, organizativa, económica y financiera, precios de la tierra rural, costos de arrendamiento, distribución de la tenencia de la tierra, regularización de la propiedad rural)</v>
      </c>
      <c r="C12" s="19" t="s">
        <v>150</v>
      </c>
      <c r="D12" s="20"/>
      <c r="E12" s="20"/>
      <c r="F12" s="20"/>
      <c r="G12" s="53">
        <f>+$G$44</f>
        <v>850000000</v>
      </c>
      <c r="H12" s="53">
        <f t="shared" ref="H12:V12" si="3">+$G$44</f>
        <v>850000000</v>
      </c>
      <c r="I12" s="53">
        <f t="shared" si="3"/>
        <v>850000000</v>
      </c>
      <c r="J12" s="53">
        <f t="shared" si="3"/>
        <v>850000000</v>
      </c>
      <c r="K12" s="53">
        <f t="shared" si="3"/>
        <v>850000000</v>
      </c>
      <c r="L12" s="53">
        <f t="shared" si="3"/>
        <v>850000000</v>
      </c>
      <c r="M12" s="53">
        <f t="shared" si="3"/>
        <v>850000000</v>
      </c>
      <c r="N12" s="53">
        <f t="shared" si="3"/>
        <v>850000000</v>
      </c>
      <c r="O12" s="53">
        <f t="shared" si="3"/>
        <v>850000000</v>
      </c>
      <c r="P12" s="53">
        <f t="shared" si="3"/>
        <v>850000000</v>
      </c>
      <c r="Q12" s="53">
        <f t="shared" si="3"/>
        <v>850000000</v>
      </c>
      <c r="R12" s="53">
        <f t="shared" si="3"/>
        <v>850000000</v>
      </c>
      <c r="S12" s="53">
        <f t="shared" si="3"/>
        <v>850000000</v>
      </c>
      <c r="T12" s="53">
        <f t="shared" si="3"/>
        <v>850000000</v>
      </c>
      <c r="U12" s="53">
        <f t="shared" si="3"/>
        <v>850000000</v>
      </c>
      <c r="V12" s="53">
        <f t="shared" si="3"/>
        <v>850000000</v>
      </c>
      <c r="W12" s="53">
        <f>SUM(D12:V12)</f>
        <v>13600000000</v>
      </c>
    </row>
    <row r="13" spans="2:24" ht="24" customHeight="1" x14ac:dyDescent="0.25">
      <c r="W13" s="150">
        <f>SUM(W8:W12)</f>
        <v>15980745678</v>
      </c>
    </row>
    <row r="14" spans="2:24" x14ac:dyDescent="0.25">
      <c r="B14" s="13" t="s">
        <v>482</v>
      </c>
      <c r="C14" s="13" t="s">
        <v>40</v>
      </c>
      <c r="D14" s="13" t="s">
        <v>41</v>
      </c>
      <c r="E14" s="13" t="s">
        <v>42</v>
      </c>
      <c r="F14" s="13" t="s">
        <v>712</v>
      </c>
      <c r="G14" s="13" t="s">
        <v>43</v>
      </c>
      <c r="H14" s="13" t="s">
        <v>44</v>
      </c>
      <c r="W14" s="150">
        <f>+'Presupuesto detallado'!V123</f>
        <v>15980745678</v>
      </c>
    </row>
    <row r="15" spans="2:24" x14ac:dyDescent="0.25">
      <c r="B15" s="14" t="s">
        <v>305</v>
      </c>
      <c r="C15" s="21">
        <v>1</v>
      </c>
      <c r="D15" s="14" t="s">
        <v>100</v>
      </c>
      <c r="E15" s="77">
        <f>+Parámetros!D11</f>
        <v>11508889</v>
      </c>
      <c r="F15" s="118">
        <v>0.5</v>
      </c>
      <c r="G15" s="23">
        <v>11</v>
      </c>
      <c r="H15" s="77">
        <f>+C15*E15*G15*F15</f>
        <v>63298889.5</v>
      </c>
      <c r="W15" s="201">
        <f>+W13-W14</f>
        <v>0</v>
      </c>
    </row>
    <row r="16" spans="2:24" x14ac:dyDescent="0.25">
      <c r="B16" s="14" t="s">
        <v>557</v>
      </c>
      <c r="C16" s="21">
        <v>1</v>
      </c>
      <c r="D16" s="14" t="s">
        <v>100</v>
      </c>
      <c r="E16" s="77">
        <f>+Parámetros!D14</f>
        <v>7017615</v>
      </c>
      <c r="F16" s="118">
        <v>0.5</v>
      </c>
      <c r="G16" s="23">
        <v>11</v>
      </c>
      <c r="H16" s="77">
        <f>+C16*E16*G16*F16</f>
        <v>38596882.5</v>
      </c>
    </row>
    <row r="17" spans="2:8" x14ac:dyDescent="0.25">
      <c r="B17" s="14" t="s">
        <v>205</v>
      </c>
      <c r="C17" s="21">
        <v>2</v>
      </c>
      <c r="D17" s="14" t="s">
        <v>199</v>
      </c>
      <c r="E17" s="77">
        <v>20000000</v>
      </c>
      <c r="F17" s="118"/>
      <c r="G17" s="23"/>
      <c r="H17" s="77">
        <f>+C17*E17</f>
        <v>40000000</v>
      </c>
    </row>
    <row r="18" spans="2:8" x14ac:dyDescent="0.25">
      <c r="B18" s="24" t="s">
        <v>46</v>
      </c>
      <c r="C18" s="25"/>
      <c r="D18" s="14"/>
      <c r="E18" s="13"/>
      <c r="F18" s="13"/>
      <c r="G18" s="13"/>
      <c r="H18" s="26">
        <f>SUM(H15:H17)</f>
        <v>141895772</v>
      </c>
    </row>
    <row r="19" spans="2:8" x14ac:dyDescent="0.25">
      <c r="B19" s="5" t="s">
        <v>481</v>
      </c>
      <c r="C19" s="5"/>
      <c r="D19" s="5"/>
      <c r="E19" s="5"/>
      <c r="F19" s="5"/>
      <c r="G19" s="5"/>
      <c r="H19" s="5"/>
    </row>
    <row r="20" spans="2:8" x14ac:dyDescent="0.25">
      <c r="B20" s="5"/>
      <c r="C20" s="5"/>
      <c r="D20" s="5"/>
      <c r="E20" s="5"/>
      <c r="F20" s="5"/>
      <c r="G20" s="5"/>
      <c r="H20" s="5"/>
    </row>
    <row r="21" spans="2:8" x14ac:dyDescent="0.25">
      <c r="B21" s="13" t="s">
        <v>483</v>
      </c>
      <c r="C21" s="13" t="s">
        <v>40</v>
      </c>
      <c r="D21" s="13" t="s">
        <v>41</v>
      </c>
      <c r="E21" s="13" t="s">
        <v>42</v>
      </c>
      <c r="F21" s="13" t="s">
        <v>43</v>
      </c>
      <c r="G21" s="13" t="s">
        <v>44</v>
      </c>
      <c r="H21" s="5"/>
    </row>
    <row r="22" spans="2:8" ht="31.5" customHeight="1" x14ac:dyDescent="0.25">
      <c r="B22" s="18" t="s">
        <v>215</v>
      </c>
      <c r="C22" s="55">
        <v>12</v>
      </c>
      <c r="D22" s="56" t="s">
        <v>104</v>
      </c>
      <c r="E22" s="79">
        <v>20000000</v>
      </c>
      <c r="F22" s="80"/>
      <c r="G22" s="79">
        <f>+C22*E22</f>
        <v>240000000</v>
      </c>
      <c r="H22" s="28"/>
    </row>
    <row r="23" spans="2:8" ht="18.75" customHeight="1" x14ac:dyDescent="0.25">
      <c r="B23" s="18" t="s">
        <v>93</v>
      </c>
      <c r="C23" s="55">
        <v>1</v>
      </c>
      <c r="D23" s="56" t="s">
        <v>104</v>
      </c>
      <c r="E23" s="79">
        <v>20000000</v>
      </c>
      <c r="F23" s="80"/>
      <c r="G23" s="79">
        <f>+C23*E23</f>
        <v>20000000</v>
      </c>
      <c r="H23" s="28"/>
    </row>
    <row r="24" spans="2:8" x14ac:dyDescent="0.25">
      <c r="B24" s="24" t="s">
        <v>107</v>
      </c>
      <c r="C24" s="78"/>
      <c r="D24" s="78"/>
      <c r="E24" s="78"/>
      <c r="F24" s="78"/>
      <c r="G24" s="26">
        <f>SUM(G22:G23)</f>
        <v>260000000</v>
      </c>
      <c r="H24" s="5"/>
    </row>
    <row r="27" spans="2:8" x14ac:dyDescent="0.25">
      <c r="B27" s="13" t="s">
        <v>484</v>
      </c>
      <c r="C27" s="13" t="s">
        <v>40</v>
      </c>
      <c r="D27" s="13" t="s">
        <v>41</v>
      </c>
      <c r="E27" s="13" t="s">
        <v>42</v>
      </c>
      <c r="F27" s="13" t="s">
        <v>43</v>
      </c>
      <c r="G27" s="13" t="s">
        <v>44</v>
      </c>
    </row>
    <row r="28" spans="2:8" ht="50.25" customHeight="1" x14ac:dyDescent="0.25">
      <c r="B28" s="18" t="s">
        <v>217</v>
      </c>
      <c r="C28" s="55">
        <v>3</v>
      </c>
      <c r="D28" s="56" t="s">
        <v>104</v>
      </c>
      <c r="E28" s="79">
        <v>20000000</v>
      </c>
      <c r="F28" s="80"/>
      <c r="G28" s="79">
        <f>+C28*E28</f>
        <v>60000000</v>
      </c>
    </row>
    <row r="29" spans="2:8" x14ac:dyDescent="0.25">
      <c r="B29" s="14" t="s">
        <v>205</v>
      </c>
      <c r="C29" s="21">
        <v>6</v>
      </c>
      <c r="D29" s="14" t="s">
        <v>199</v>
      </c>
      <c r="E29" s="77">
        <v>10000000</v>
      </c>
      <c r="F29" s="23"/>
      <c r="G29" s="77">
        <f>+C29*E29</f>
        <v>60000000</v>
      </c>
    </row>
    <row r="30" spans="2:8" x14ac:dyDescent="0.25">
      <c r="B30" s="24" t="s">
        <v>46</v>
      </c>
      <c r="C30" s="25"/>
      <c r="D30" s="14"/>
      <c r="E30" s="13"/>
      <c r="F30" s="13"/>
      <c r="G30" s="26">
        <f>SUM(G28:G29)</f>
        <v>120000000</v>
      </c>
    </row>
    <row r="33" spans="2:9" x14ac:dyDescent="0.25">
      <c r="B33" s="13" t="s">
        <v>485</v>
      </c>
      <c r="C33" s="13" t="s">
        <v>40</v>
      </c>
      <c r="D33" s="13" t="s">
        <v>41</v>
      </c>
      <c r="E33" s="13" t="s">
        <v>42</v>
      </c>
      <c r="F33" s="13" t="s">
        <v>712</v>
      </c>
      <c r="G33" s="13" t="s">
        <v>43</v>
      </c>
      <c r="H33" s="13" t="s">
        <v>44</v>
      </c>
    </row>
    <row r="34" spans="2:9" x14ac:dyDescent="0.25">
      <c r="B34" s="14" t="s">
        <v>305</v>
      </c>
      <c r="C34" s="21">
        <v>1</v>
      </c>
      <c r="D34" s="14" t="s">
        <v>100</v>
      </c>
      <c r="E34" s="77">
        <f>+Parámetros!D11</f>
        <v>11508889</v>
      </c>
      <c r="F34" s="118">
        <v>0.5</v>
      </c>
      <c r="G34" s="23">
        <v>11</v>
      </c>
      <c r="H34" s="77">
        <f>+C34*E34*G34*F34</f>
        <v>63298889.5</v>
      </c>
    </row>
    <row r="35" spans="2:9" x14ac:dyDescent="0.25">
      <c r="B35" s="14" t="s">
        <v>557</v>
      </c>
      <c r="C35" s="21">
        <v>5</v>
      </c>
      <c r="D35" s="14" t="s">
        <v>100</v>
      </c>
      <c r="E35" s="77">
        <f>+Parámetros!D14</f>
        <v>7017615</v>
      </c>
      <c r="F35" s="118">
        <v>0.5</v>
      </c>
      <c r="G35" s="23">
        <v>11</v>
      </c>
      <c r="H35" s="77">
        <f>+C35*E35*G35*F35</f>
        <v>192984412.5</v>
      </c>
    </row>
    <row r="36" spans="2:9" x14ac:dyDescent="0.25">
      <c r="B36" s="14" t="s">
        <v>105</v>
      </c>
      <c r="C36" s="21">
        <v>3</v>
      </c>
      <c r="D36" s="14" t="s">
        <v>199</v>
      </c>
      <c r="E36" s="77">
        <v>10000000</v>
      </c>
      <c r="F36" s="118"/>
      <c r="G36" s="23"/>
      <c r="H36" s="77">
        <f>+C36*E36</f>
        <v>30000000</v>
      </c>
      <c r="I36" s="177"/>
    </row>
    <row r="37" spans="2:9" x14ac:dyDescent="0.25">
      <c r="B37" s="24" t="s">
        <v>46</v>
      </c>
      <c r="C37" s="25"/>
      <c r="D37" s="14"/>
      <c r="E37" s="13"/>
      <c r="F37" s="13"/>
      <c r="G37" s="13"/>
      <c r="H37" s="26">
        <f>SUM(H34:H36)</f>
        <v>286283302</v>
      </c>
      <c r="I37" s="178"/>
    </row>
    <row r="38" spans="2:9" x14ac:dyDescent="0.25">
      <c r="B38" s="14" t="s">
        <v>105</v>
      </c>
      <c r="C38" s="21">
        <v>3</v>
      </c>
      <c r="D38" s="14" t="s">
        <v>199</v>
      </c>
      <c r="E38" s="77">
        <v>20000000</v>
      </c>
      <c r="F38" s="20"/>
      <c r="G38" s="23"/>
      <c r="H38" s="77">
        <f>+C38*E38</f>
        <v>60000000</v>
      </c>
    </row>
    <row r="39" spans="2:9" ht="24.75" x14ac:dyDescent="0.25">
      <c r="B39" s="56" t="s">
        <v>288</v>
      </c>
      <c r="C39" s="21"/>
      <c r="D39" s="14"/>
      <c r="E39" s="77"/>
      <c r="F39" s="20"/>
      <c r="G39" s="23"/>
      <c r="H39" s="96" t="str">
        <f>+Parámetros!C4</f>
        <v>Presupuesto relativo</v>
      </c>
    </row>
    <row r="40" spans="2:9" x14ac:dyDescent="0.25">
      <c r="B40" s="59"/>
      <c r="C40" s="90"/>
      <c r="D40" s="91"/>
      <c r="E40" s="92"/>
      <c r="F40" s="92"/>
      <c r="G40" s="93"/>
    </row>
    <row r="43" spans="2:9" x14ac:dyDescent="0.25">
      <c r="B43" s="13" t="s">
        <v>486</v>
      </c>
      <c r="C43" s="13" t="s">
        <v>40</v>
      </c>
      <c r="D43" s="13" t="s">
        <v>41</v>
      </c>
      <c r="E43" s="13" t="s">
        <v>42</v>
      </c>
      <c r="F43" s="13" t="s">
        <v>43</v>
      </c>
      <c r="G43" s="13" t="s">
        <v>44</v>
      </c>
    </row>
    <row r="44" spans="2:9" x14ac:dyDescent="0.25">
      <c r="B44" s="14" t="s">
        <v>725</v>
      </c>
      <c r="C44" s="21">
        <v>1</v>
      </c>
      <c r="D44" s="14" t="s">
        <v>104</v>
      </c>
      <c r="E44" s="77">
        <v>850000000</v>
      </c>
      <c r="F44" s="118"/>
      <c r="G44" s="77">
        <f>+C44*E44</f>
        <v>850000000</v>
      </c>
    </row>
    <row r="45" spans="2:9" ht="24.75" x14ac:dyDescent="0.25">
      <c r="B45" s="56" t="s">
        <v>216</v>
      </c>
      <c r="C45" s="21"/>
      <c r="D45" s="14"/>
      <c r="E45" s="22"/>
      <c r="F45" s="23"/>
      <c r="G45" s="97" t="str">
        <f>+Parámetros!C4</f>
        <v>Presupuesto relativo</v>
      </c>
    </row>
    <row r="46" spans="2:9" x14ac:dyDescent="0.25">
      <c r="B46" s="24" t="s">
        <v>46</v>
      </c>
      <c r="C46" s="25"/>
      <c r="D46" s="14"/>
      <c r="E46" s="13"/>
      <c r="F46" s="13"/>
      <c r="G46" s="26"/>
    </row>
    <row r="47" spans="2:9" x14ac:dyDescent="0.25">
      <c r="B47" s="5" t="s">
        <v>726</v>
      </c>
    </row>
    <row r="48" spans="2:9" x14ac:dyDescent="0.25">
      <c r="G48" s="264"/>
      <c r="H48" s="264"/>
      <c r="I48" s="264"/>
    </row>
    <row r="49" spans="7:9" x14ac:dyDescent="0.25">
      <c r="G49" s="264"/>
      <c r="H49" s="264"/>
      <c r="I49" s="264"/>
    </row>
    <row r="51" spans="7:9" x14ac:dyDescent="0.25">
      <c r="I51" s="265"/>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18"/>
  <dimension ref="B2:X32"/>
  <sheetViews>
    <sheetView workbookViewId="0">
      <selection activeCell="D11" sqref="D11"/>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detallado'!B103</f>
        <v>PROGRAMA 6. Infraestructura y servicios logísticos para la cadena arrocera</v>
      </c>
    </row>
    <row r="5" spans="2:24" x14ac:dyDescent="0.25">
      <c r="B5" s="15" t="str">
        <f>+'Presupuesto detallado'!B104</f>
        <v>6.1. Fortalecimiento de la infraestructura para la conectividad y la cobertura de servicios públicos en las regiones arroceras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detallado'!B105</f>
        <v>6.1.1. Identificación y actualización de necesidades de infraestructura para la conectividad y de servicios públicos en las regiones arroceras</v>
      </c>
      <c r="C8" s="19" t="s">
        <v>166</v>
      </c>
      <c r="D8" s="20"/>
      <c r="E8" s="20"/>
      <c r="F8" s="20"/>
      <c r="G8" s="20"/>
      <c r="H8" s="20"/>
      <c r="I8" s="20"/>
      <c r="J8" s="20"/>
      <c r="K8" s="20"/>
      <c r="L8" s="20"/>
      <c r="M8" s="20"/>
      <c r="N8" s="20"/>
      <c r="O8" s="20"/>
      <c r="P8" s="20"/>
      <c r="Q8" s="20"/>
      <c r="R8" s="20"/>
      <c r="S8" s="20"/>
      <c r="T8" s="20"/>
      <c r="U8" s="20"/>
      <c r="V8" s="20"/>
    </row>
    <row r="9" spans="2:24" ht="48" x14ac:dyDescent="0.25">
      <c r="B9" s="18" t="str">
        <f>+'Presupuesto detallado'!B106</f>
        <v>6.1.2. Priorización de zonas estratégicas de intervención, para el mejoramiento de la infraestructura de conectividad y cobertura de servicios públicos en las regiones arroceras</v>
      </c>
      <c r="C9" s="19" t="s">
        <v>167</v>
      </c>
      <c r="D9" s="20"/>
      <c r="E9" s="20"/>
      <c r="F9" s="20"/>
      <c r="G9" s="20"/>
      <c r="H9" s="20"/>
      <c r="I9" s="20"/>
      <c r="J9" s="20"/>
      <c r="K9" s="20"/>
      <c r="L9" s="20"/>
      <c r="M9" s="20"/>
      <c r="N9" s="20"/>
      <c r="O9" s="20"/>
      <c r="P9" s="20"/>
      <c r="Q9" s="20"/>
      <c r="R9" s="20"/>
      <c r="S9" s="20"/>
      <c r="T9" s="20"/>
      <c r="U9" s="20"/>
      <c r="V9" s="20"/>
    </row>
    <row r="10" spans="2:24" ht="72" x14ac:dyDescent="0.25">
      <c r="B10" s="18" t="str">
        <f>+'Presupuesto detallado'!B107</f>
        <v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v>
      </c>
      <c r="C10" s="19" t="s">
        <v>168</v>
      </c>
      <c r="D10" s="20"/>
      <c r="E10" s="20"/>
      <c r="F10" s="20"/>
      <c r="G10" s="20"/>
      <c r="H10" s="20"/>
      <c r="I10" s="20"/>
      <c r="J10" s="20"/>
      <c r="K10" s="20"/>
      <c r="L10" s="20"/>
      <c r="M10" s="20"/>
      <c r="N10" s="20"/>
      <c r="O10" s="20"/>
      <c r="P10" s="20"/>
      <c r="Q10" s="20"/>
      <c r="R10" s="20"/>
      <c r="S10" s="20"/>
      <c r="T10" s="20"/>
      <c r="U10" s="20"/>
      <c r="V10" s="20"/>
    </row>
    <row r="11" spans="2:24" ht="54" customHeight="1" x14ac:dyDescent="0.25">
      <c r="B11" s="18" t="str">
        <f>+'Presupuesto detallado'!B108</f>
        <v>6.1.4. Inclusión de los necesidades agrologísticas de la cadena arrocera en el proceso de formulación de acciones del plan nacional de agrologística (Articulación con el Plan Nacional de Agrologística (en formulación))</v>
      </c>
      <c r="C11" s="19" t="s">
        <v>169</v>
      </c>
      <c r="D11" s="20"/>
      <c r="E11" s="20"/>
      <c r="F11" s="20"/>
      <c r="G11" s="20"/>
      <c r="H11" s="20"/>
      <c r="I11" s="20"/>
      <c r="J11" s="20"/>
      <c r="K11" s="20"/>
      <c r="L11" s="20"/>
      <c r="M11" s="20"/>
      <c r="N11" s="20"/>
      <c r="O11" s="20"/>
      <c r="P11" s="20"/>
      <c r="Q11" s="20"/>
      <c r="R11" s="20"/>
      <c r="S11" s="20"/>
      <c r="T11" s="20"/>
      <c r="U11" s="20"/>
      <c r="V11" s="20"/>
    </row>
    <row r="12" spans="2:24" ht="48" x14ac:dyDescent="0.25">
      <c r="B12" s="18" t="str">
        <f>+'Presupuesto detallado'!B109</f>
        <v>6.1.5. Articulación y gestión de fuentes de inversión y financiación para el desarrollo de la infraestructura y de los servicios logísticos (Articulación con el Plan Nacional de Agrologística (en formulación))</v>
      </c>
      <c r="C12" s="19" t="s">
        <v>170</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19"/>
  <dimension ref="B2:X32"/>
  <sheetViews>
    <sheetView workbookViewId="0">
      <selection activeCell="D11" sqref="D11"/>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detallado'!B103</f>
        <v>PROGRAMA 6. Infraestructura y servicios logísticos para la cadena arrocera</v>
      </c>
    </row>
    <row r="5" spans="2:24" x14ac:dyDescent="0.25">
      <c r="B5" s="15" t="str">
        <f>+'Presupuesto detallado'!B110</f>
        <v>6.2. Mejora del mercado de servicios logísticos para la cadena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24" x14ac:dyDescent="0.25">
      <c r="B8" s="18" t="str">
        <f>+'Presupuesto detallado'!B111</f>
        <v xml:space="preserve">6.2.1. Identificación de las necesidades de servicios logísticos requeridos por la cadena arrocera </v>
      </c>
      <c r="C8" s="19" t="s">
        <v>140</v>
      </c>
      <c r="D8" s="20"/>
      <c r="E8" s="20"/>
      <c r="F8" s="20"/>
      <c r="G8" s="20"/>
      <c r="H8" s="20"/>
      <c r="I8" s="20"/>
      <c r="J8" s="20"/>
      <c r="K8" s="20"/>
      <c r="L8" s="20"/>
      <c r="M8" s="20"/>
      <c r="N8" s="20"/>
      <c r="O8" s="20"/>
      <c r="P8" s="20"/>
      <c r="Q8" s="20"/>
      <c r="R8" s="20"/>
      <c r="S8" s="20"/>
      <c r="T8" s="20"/>
      <c r="U8" s="20"/>
      <c r="V8" s="20"/>
    </row>
    <row r="9" spans="2:24" ht="36" x14ac:dyDescent="0.25">
      <c r="B9" s="18" t="str">
        <f>+'Presupuesto detallado'!B112</f>
        <v>6.2.2. Promoción de acciones que conlleven a la optimización de la logística de transporte de las zonas productoras a los molinos</v>
      </c>
      <c r="C9" s="19" t="s">
        <v>171</v>
      </c>
      <c r="D9" s="20"/>
      <c r="E9" s="20"/>
      <c r="F9" s="20"/>
      <c r="G9" s="20"/>
      <c r="H9" s="20"/>
      <c r="I9" s="20"/>
      <c r="J9" s="20"/>
      <c r="K9" s="20"/>
      <c r="L9" s="20"/>
      <c r="M9" s="20"/>
      <c r="N9" s="20"/>
      <c r="O9" s="20"/>
      <c r="P9" s="20"/>
      <c r="Q9" s="20"/>
      <c r="R9" s="20"/>
      <c r="S9" s="20"/>
      <c r="T9" s="20"/>
      <c r="U9" s="20"/>
      <c r="V9" s="20"/>
    </row>
    <row r="10" spans="2:24" ht="48" x14ac:dyDescent="0.25">
      <c r="B10" s="18" t="str">
        <f>+'Presupuesto detallado'!B113</f>
        <v>6.2.3. Articulación de mecanismos actuales y futuros, que permitan desarrollar el mercado de maquinaria y equipos para los diferentes eslabones de la cadena arrocera</v>
      </c>
      <c r="C10" s="19" t="s">
        <v>172</v>
      </c>
      <c r="D10" s="20"/>
      <c r="E10" s="20"/>
      <c r="F10" s="20"/>
      <c r="G10" s="20"/>
      <c r="H10" s="20"/>
      <c r="I10" s="20"/>
      <c r="J10" s="20"/>
      <c r="K10" s="20"/>
      <c r="L10" s="20"/>
      <c r="M10" s="20"/>
      <c r="N10" s="20"/>
      <c r="O10" s="20"/>
      <c r="P10" s="20"/>
      <c r="Q10" s="20"/>
      <c r="R10" s="20"/>
      <c r="S10" s="20"/>
      <c r="T10" s="20"/>
      <c r="U10" s="20"/>
      <c r="V10" s="20"/>
    </row>
    <row r="11" spans="2:24" ht="48" x14ac:dyDescent="0.25">
      <c r="B11" s="18" t="str">
        <f>+'Presupuesto detallado'!B114</f>
        <v xml:space="preserve">6.2.4. Mejora de la infraestructura física de almacenamiento y secamiento de acuerdo con las necesidades de las regiones arroceras, para soluciones individuales o asociadas. </v>
      </c>
      <c r="C11" s="19" t="s">
        <v>173</v>
      </c>
      <c r="D11" s="20"/>
      <c r="E11" s="20"/>
      <c r="F11" s="20"/>
      <c r="G11" s="20"/>
      <c r="H11" s="20"/>
      <c r="I11" s="20"/>
      <c r="J11" s="20"/>
      <c r="K11" s="20"/>
      <c r="L11" s="20"/>
      <c r="M11" s="20"/>
      <c r="N11" s="20"/>
      <c r="O11" s="20"/>
      <c r="P11" s="20"/>
      <c r="Q11" s="20"/>
      <c r="R11" s="20"/>
      <c r="S11" s="20"/>
      <c r="T11" s="20"/>
      <c r="U11" s="20"/>
      <c r="V11" s="20"/>
    </row>
    <row r="12" spans="2:24" ht="36" x14ac:dyDescent="0.25">
      <c r="B12" s="18" t="str">
        <f>+'Presupuesto detallado'!B115</f>
        <v>6.2.5. Fomento de la creación y consolidación de empresas prestadoras de servicios logísticos (incluye servicios de secamiento y almacenamiento)</v>
      </c>
      <c r="C12" s="19" t="s">
        <v>173</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22"/>
  <dimension ref="B2:X34"/>
  <sheetViews>
    <sheetView workbookViewId="0">
      <selection activeCell="B8" sqref="B8"/>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detallado'!B129</f>
        <v xml:space="preserve">PROGRAMA 8. Institucionalidad arrocera </v>
      </c>
    </row>
    <row r="5" spans="2:24" x14ac:dyDescent="0.25">
      <c r="B5" s="15" t="str">
        <f>+'Presupuesto detallado'!B130</f>
        <v>8.1. Fortalecimiento de la articulación institucional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detallado'!B131</f>
        <v>8.1.1. Declaración, adopción y promoción, del Plan de ordenamiento productivo de la cadena de arroz, como política pública</v>
      </c>
      <c r="C8" s="19" t="s">
        <v>37</v>
      </c>
      <c r="D8" s="20"/>
      <c r="E8" s="20"/>
      <c r="F8" s="20"/>
      <c r="G8" s="20"/>
      <c r="H8" s="20"/>
      <c r="I8" s="20"/>
      <c r="J8" s="20"/>
      <c r="K8" s="20"/>
      <c r="L8" s="20"/>
      <c r="M8" s="20"/>
      <c r="N8" s="20"/>
      <c r="O8" s="20"/>
      <c r="P8" s="20"/>
      <c r="Q8" s="20"/>
      <c r="R8" s="20"/>
      <c r="S8" s="20"/>
      <c r="T8" s="20"/>
      <c r="U8" s="20"/>
      <c r="V8" s="20"/>
    </row>
    <row r="9" spans="2:24" ht="36" x14ac:dyDescent="0.25">
      <c r="B9" s="18" t="str">
        <f>+'Presupuesto detallado'!B132</f>
        <v>8.1.2. Diseño e implementación del sistema de seguimiento y evaluación del Plan de ordenamiento productivo de la cadena de arroz</v>
      </c>
      <c r="C9" s="19" t="s">
        <v>141</v>
      </c>
      <c r="D9" s="20"/>
      <c r="E9" s="20"/>
      <c r="F9" s="20"/>
      <c r="G9" s="20"/>
      <c r="H9" s="20"/>
      <c r="I9" s="20"/>
      <c r="J9" s="20"/>
      <c r="K9" s="20"/>
      <c r="L9" s="20"/>
      <c r="M9" s="20"/>
      <c r="N9" s="20"/>
      <c r="O9" s="20"/>
      <c r="P9" s="20"/>
      <c r="Q9" s="20"/>
      <c r="R9" s="20"/>
      <c r="S9" s="20"/>
      <c r="T9" s="20"/>
      <c r="U9" s="20"/>
      <c r="V9" s="20"/>
    </row>
    <row r="10" spans="2:24" ht="48" x14ac:dyDescent="0.25">
      <c r="B10" s="18" t="str">
        <f>+'Presupuesto detallado'!B133</f>
        <v>8.1.3. Mejora en el relacionamiento de los actores público - privados que permitan la articulación de agendas de trabajo para la implementación del Plan de Ordenamiento Productivo de la cadena de arroz</v>
      </c>
      <c r="C10" s="19" t="s">
        <v>141</v>
      </c>
      <c r="D10" s="20"/>
      <c r="E10" s="20"/>
      <c r="F10" s="20"/>
      <c r="G10" s="20"/>
      <c r="H10" s="20"/>
      <c r="I10" s="20"/>
      <c r="J10" s="20"/>
      <c r="K10" s="20"/>
      <c r="L10" s="20"/>
      <c r="M10" s="20"/>
      <c r="N10" s="20"/>
      <c r="O10" s="20"/>
      <c r="P10" s="20"/>
      <c r="Q10" s="20"/>
      <c r="R10" s="20"/>
      <c r="S10" s="20"/>
      <c r="T10" s="20"/>
      <c r="U10" s="20"/>
      <c r="V10" s="20"/>
    </row>
    <row r="11" spans="2:24" ht="36" x14ac:dyDescent="0.25">
      <c r="B11" s="18" t="str">
        <f>+'Presupuesto detallado'!B134</f>
        <v>8.1.4. Fortalecimiento de las capacidades institucionales públicas y privadas en los diferentes ámbitos del territorio</v>
      </c>
      <c r="C11" s="19" t="s">
        <v>175</v>
      </c>
      <c r="D11" s="20"/>
      <c r="E11" s="20"/>
      <c r="F11" s="20"/>
      <c r="G11" s="20"/>
      <c r="H11" s="20"/>
      <c r="I11" s="20"/>
      <c r="J11" s="20"/>
      <c r="K11" s="20"/>
      <c r="L11" s="20"/>
      <c r="M11" s="20"/>
      <c r="N11" s="20"/>
      <c r="O11" s="20"/>
      <c r="P11" s="20"/>
      <c r="Q11" s="20"/>
      <c r="R11" s="20"/>
      <c r="S11" s="20"/>
      <c r="T11" s="20"/>
      <c r="U11" s="20"/>
      <c r="V11" s="20"/>
    </row>
    <row r="12" spans="2:24" ht="36" x14ac:dyDescent="0.25">
      <c r="B12" s="18" t="str">
        <f>+'Presupuesto detallado'!B135</f>
        <v>8.1.5. Articulación de los instrumentos de planificación e implementación de políticas relacionadas con la cadena de arroz a nivel nacional, regional y municipal</v>
      </c>
      <c r="C12" s="19" t="s">
        <v>175</v>
      </c>
      <c r="D12" s="20"/>
      <c r="E12" s="20"/>
      <c r="F12" s="20"/>
      <c r="G12" s="20"/>
      <c r="H12" s="20"/>
      <c r="I12" s="20"/>
      <c r="J12" s="20"/>
      <c r="K12" s="20"/>
      <c r="L12" s="20"/>
      <c r="M12" s="20"/>
      <c r="N12" s="20"/>
      <c r="O12" s="20"/>
      <c r="P12" s="20"/>
      <c r="Q12" s="20"/>
      <c r="R12" s="20"/>
      <c r="S12" s="20"/>
      <c r="T12" s="20"/>
      <c r="U12" s="20"/>
      <c r="V12" s="20"/>
    </row>
    <row r="13" spans="2:24" ht="36" x14ac:dyDescent="0.25">
      <c r="B13" s="18" t="str">
        <f>+'Presupuesto detallado'!B136</f>
        <v>8.1.6. Revisión y actualización del marco legal y normativo vigente acorde con lo establecido en el Plan de Ordenamiento Productivo para la cadena de arroz.</v>
      </c>
      <c r="C13" s="19" t="s">
        <v>176</v>
      </c>
      <c r="D13" s="20"/>
      <c r="E13" s="20"/>
      <c r="F13" s="20"/>
      <c r="G13" s="20"/>
      <c r="H13" s="20"/>
      <c r="I13" s="20"/>
      <c r="J13" s="20"/>
      <c r="K13" s="20"/>
      <c r="L13" s="20"/>
      <c r="M13" s="20"/>
      <c r="N13" s="20"/>
      <c r="O13" s="20"/>
      <c r="P13" s="20"/>
      <c r="Q13" s="20"/>
      <c r="R13" s="20"/>
      <c r="S13" s="20"/>
      <c r="T13" s="20"/>
      <c r="U13" s="20"/>
      <c r="V13" s="20"/>
    </row>
    <row r="14" spans="2:24" ht="36" x14ac:dyDescent="0.25">
      <c r="B14" s="18" t="str">
        <f>+'Presupuesto detallado'!B137</f>
        <v>8.1.7. Promoción de acciones que propendan por la seguridad jurídica de la tenencia de la tierra en las regiones arroceras</v>
      </c>
      <c r="C14" s="19" t="s">
        <v>177</v>
      </c>
      <c r="D14" s="20"/>
      <c r="E14" s="20"/>
      <c r="F14" s="20"/>
      <c r="G14" s="20"/>
      <c r="H14" s="20"/>
      <c r="I14" s="20"/>
      <c r="J14" s="20"/>
      <c r="K14" s="20"/>
      <c r="L14" s="20"/>
      <c r="M14" s="20"/>
      <c r="N14" s="20"/>
      <c r="O14" s="20"/>
      <c r="P14" s="20"/>
      <c r="Q14" s="20"/>
      <c r="R14" s="20"/>
      <c r="S14" s="20"/>
      <c r="T14" s="20"/>
      <c r="U14" s="20"/>
      <c r="V14" s="20"/>
    </row>
    <row r="15" spans="2:24" ht="24" customHeight="1" x14ac:dyDescent="0.25"/>
    <row r="16" spans="2:24" x14ac:dyDescent="0.25">
      <c r="B16" s="13" t="s">
        <v>52</v>
      </c>
      <c r="C16" s="13" t="s">
        <v>40</v>
      </c>
      <c r="D16" s="13" t="s">
        <v>41</v>
      </c>
      <c r="E16" s="13" t="s">
        <v>42</v>
      </c>
      <c r="F16" s="13" t="s">
        <v>43</v>
      </c>
      <c r="G16" s="13" t="s">
        <v>44</v>
      </c>
      <c r="H16" s="5"/>
    </row>
    <row r="17" spans="2:8" x14ac:dyDescent="0.25">
      <c r="B17" s="14"/>
      <c r="C17" s="21"/>
      <c r="D17" s="14"/>
      <c r="E17" s="22"/>
      <c r="F17" s="23"/>
      <c r="G17" s="22"/>
      <c r="H17" s="5"/>
    </row>
    <row r="18" spans="2:8" x14ac:dyDescent="0.25">
      <c r="B18" s="14"/>
      <c r="C18" s="21"/>
      <c r="D18" s="14"/>
      <c r="E18" s="22"/>
      <c r="F18" s="23"/>
      <c r="G18" s="22"/>
      <c r="H18" s="5"/>
    </row>
    <row r="19" spans="2:8" x14ac:dyDescent="0.25">
      <c r="B19" s="14"/>
      <c r="C19" s="21"/>
      <c r="D19" s="14"/>
      <c r="E19" s="22"/>
      <c r="F19" s="23"/>
      <c r="G19" s="22"/>
      <c r="H19" s="28" t="s">
        <v>53</v>
      </c>
    </row>
    <row r="20" spans="2:8" x14ac:dyDescent="0.25">
      <c r="B20" s="14"/>
      <c r="C20" s="21"/>
      <c r="D20" s="14"/>
      <c r="E20" s="22"/>
      <c r="F20" s="23"/>
      <c r="G20" s="22"/>
      <c r="H20" s="5"/>
    </row>
    <row r="21" spans="2:8" x14ac:dyDescent="0.25">
      <c r="B21" s="24" t="s">
        <v>46</v>
      </c>
      <c r="C21" s="25"/>
      <c r="D21" s="14"/>
      <c r="E21" s="13"/>
      <c r="F21" s="13"/>
      <c r="G21" s="26"/>
      <c r="H21" s="5"/>
    </row>
    <row r="22" spans="2:8" x14ac:dyDescent="0.25">
      <c r="B22" s="5"/>
      <c r="C22" s="5"/>
      <c r="D22" s="5"/>
      <c r="E22" s="5"/>
      <c r="F22" s="5"/>
      <c r="G22" s="5"/>
      <c r="H22" s="5"/>
    </row>
    <row r="23" spans="2:8" x14ac:dyDescent="0.25">
      <c r="B23" s="5"/>
      <c r="C23" s="5"/>
      <c r="D23" s="5"/>
      <c r="E23" s="5"/>
      <c r="F23" s="5"/>
      <c r="G23" s="5"/>
      <c r="H23" s="5"/>
    </row>
    <row r="24" spans="2:8" x14ac:dyDescent="0.25">
      <c r="B24" s="13" t="s">
        <v>54</v>
      </c>
      <c r="C24" s="13" t="s">
        <v>40</v>
      </c>
      <c r="D24" s="13" t="s">
        <v>41</v>
      </c>
      <c r="E24" s="13" t="s">
        <v>42</v>
      </c>
      <c r="F24" s="13" t="s">
        <v>43</v>
      </c>
      <c r="G24" s="13" t="s">
        <v>44</v>
      </c>
      <c r="H24" s="5"/>
    </row>
    <row r="25" spans="2:8" x14ac:dyDescent="0.25">
      <c r="B25" s="14"/>
      <c r="C25" s="21"/>
      <c r="D25" s="14"/>
      <c r="E25" s="22"/>
      <c r="F25" s="23"/>
      <c r="G25" s="22"/>
      <c r="H25" s="28" t="s">
        <v>47</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48</v>
      </c>
      <c r="C29" s="293"/>
      <c r="D29" s="293"/>
      <c r="E29" s="293"/>
      <c r="F29" s="294"/>
      <c r="G29" s="27"/>
      <c r="H29" s="5"/>
    </row>
    <row r="30" spans="2:8" x14ac:dyDescent="0.25">
      <c r="B30" s="14"/>
      <c r="C30" s="21"/>
      <c r="D30" s="14"/>
      <c r="E30" s="22"/>
      <c r="F30" s="23"/>
      <c r="G30" s="22"/>
      <c r="H30" s="28" t="s">
        <v>49</v>
      </c>
    </row>
    <row r="31" spans="2:8" x14ac:dyDescent="0.25">
      <c r="B31" s="14"/>
      <c r="C31" s="21"/>
      <c r="D31" s="14"/>
      <c r="E31" s="22"/>
      <c r="F31" s="23"/>
      <c r="G31" s="22"/>
      <c r="H31" s="5"/>
    </row>
    <row r="32" spans="2:8" x14ac:dyDescent="0.25">
      <c r="B32" s="14"/>
      <c r="C32" s="21"/>
      <c r="D32" s="14"/>
      <c r="E32" s="22"/>
      <c r="F32" s="23"/>
      <c r="G32" s="22"/>
      <c r="H32" s="5"/>
    </row>
    <row r="33" spans="2:8" x14ac:dyDescent="0.25">
      <c r="B33" s="14"/>
      <c r="C33" s="21"/>
      <c r="D33" s="14"/>
      <c r="E33" s="22"/>
      <c r="F33" s="23"/>
      <c r="G33" s="22"/>
      <c r="H33" s="5"/>
    </row>
    <row r="34" spans="2:8" x14ac:dyDescent="0.25">
      <c r="B34" s="292" t="s">
        <v>50</v>
      </c>
      <c r="C34" s="293"/>
      <c r="D34" s="293"/>
      <c r="E34" s="293"/>
      <c r="F34" s="294"/>
      <c r="G34" s="26"/>
      <c r="H34" s="5"/>
    </row>
  </sheetData>
  <mergeCells count="2">
    <mergeCell ref="B29:F29"/>
    <mergeCell ref="B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2:X165"/>
  <sheetViews>
    <sheetView workbookViewId="0">
      <pane ySplit="4" topLeftCell="A5" activePane="bottomLeft" state="frozen"/>
      <selection activeCell="F17" sqref="F17"/>
      <selection pane="bottomLeft" activeCell="F17" sqref="F17"/>
    </sheetView>
  </sheetViews>
  <sheetFormatPr baseColWidth="10" defaultRowHeight="12" x14ac:dyDescent="0.2"/>
  <cols>
    <col min="1" max="1" width="11.42578125" style="5"/>
    <col min="2" max="2" width="80.7109375" style="5" customWidth="1"/>
    <col min="3" max="3" width="18" style="174" customWidth="1"/>
    <col min="4" max="21" width="17" style="174" customWidth="1"/>
    <col min="22" max="22" width="19" style="83" bestFit="1" customWidth="1"/>
    <col min="23" max="23" width="17" style="5" bestFit="1" customWidth="1"/>
    <col min="24" max="24" width="14.42578125" style="5" bestFit="1" customWidth="1"/>
    <col min="25" max="16384" width="11.42578125" style="5"/>
  </cols>
  <sheetData>
    <row r="2" spans="2:24" x14ac:dyDescent="0.2">
      <c r="B2" s="2" t="s">
        <v>34</v>
      </c>
    </row>
    <row r="4" spans="2:24" x14ac:dyDescent="0.2">
      <c r="B4" s="10" t="s">
        <v>36</v>
      </c>
      <c r="C4" s="10">
        <v>2020</v>
      </c>
      <c r="D4" s="10">
        <v>2021</v>
      </c>
      <c r="E4" s="10">
        <v>2022</v>
      </c>
      <c r="F4" s="10">
        <v>2023</v>
      </c>
      <c r="G4" s="10">
        <v>2024</v>
      </c>
      <c r="H4" s="10">
        <v>2025</v>
      </c>
      <c r="I4" s="10">
        <v>2026</v>
      </c>
      <c r="J4" s="10">
        <v>2027</v>
      </c>
      <c r="K4" s="10">
        <v>2028</v>
      </c>
      <c r="L4" s="10">
        <v>2029</v>
      </c>
      <c r="M4" s="10">
        <v>2030</v>
      </c>
      <c r="N4" s="10">
        <v>2031</v>
      </c>
      <c r="O4" s="10">
        <v>2032</v>
      </c>
      <c r="P4" s="10">
        <v>2033</v>
      </c>
      <c r="Q4" s="10">
        <v>2034</v>
      </c>
      <c r="R4" s="10">
        <v>2035</v>
      </c>
      <c r="S4" s="10">
        <v>2036</v>
      </c>
      <c r="T4" s="10">
        <v>2037</v>
      </c>
      <c r="U4" s="10">
        <v>2038</v>
      </c>
      <c r="V4" s="84" t="s">
        <v>35</v>
      </c>
    </row>
    <row r="5" spans="2:24" x14ac:dyDescent="0.2">
      <c r="B5" s="8" t="s">
        <v>2</v>
      </c>
      <c r="C5" s="179">
        <f>+C6+C12+C16+C20+C26</f>
        <v>0</v>
      </c>
      <c r="D5" s="179">
        <f t="shared" ref="D5:V5" si="0">+D6+D12+D16+D20+D26</f>
        <v>54198035151.599998</v>
      </c>
      <c r="E5" s="179">
        <f t="shared" si="0"/>
        <v>55215507790.650002</v>
      </c>
      <c r="F5" s="179">
        <f t="shared" si="0"/>
        <v>56914585577.300003</v>
      </c>
      <c r="G5" s="179">
        <f t="shared" si="0"/>
        <v>57929957599.400002</v>
      </c>
      <c r="H5" s="179">
        <f t="shared" si="0"/>
        <v>56982901013.75</v>
      </c>
      <c r="I5" s="179">
        <f t="shared" si="0"/>
        <v>55579061485.400002</v>
      </c>
      <c r="J5" s="179">
        <f t="shared" si="0"/>
        <v>55439308261.400002</v>
      </c>
      <c r="K5" s="179">
        <f t="shared" si="0"/>
        <v>55439308261.400002</v>
      </c>
      <c r="L5" s="179">
        <f t="shared" si="0"/>
        <v>55676751124.400002</v>
      </c>
      <c r="M5" s="179">
        <f t="shared" si="0"/>
        <v>55323414496.400002</v>
      </c>
      <c r="N5" s="179">
        <f t="shared" si="0"/>
        <v>55323414496.400002</v>
      </c>
      <c r="O5" s="179">
        <f t="shared" si="0"/>
        <v>55323414496.400002</v>
      </c>
      <c r="P5" s="179">
        <f t="shared" si="0"/>
        <v>53125832343.699997</v>
      </c>
      <c r="Q5" s="179">
        <f t="shared" si="0"/>
        <v>52223041335.699997</v>
      </c>
      <c r="R5" s="179">
        <f t="shared" si="0"/>
        <v>52223041335.699997</v>
      </c>
      <c r="S5" s="179">
        <f t="shared" si="0"/>
        <v>52223041335.699997</v>
      </c>
      <c r="T5" s="179">
        <f t="shared" si="0"/>
        <v>52576377963.699997</v>
      </c>
      <c r="U5" s="179">
        <f t="shared" si="0"/>
        <v>52223041335.699997</v>
      </c>
      <c r="V5" s="179">
        <f t="shared" si="0"/>
        <v>983940035404.69995</v>
      </c>
      <c r="W5" s="239">
        <f>SUM(C5:U5)</f>
        <v>983940035404.69983</v>
      </c>
      <c r="X5" s="236">
        <f>+V5-W5</f>
        <v>0</v>
      </c>
    </row>
    <row r="6" spans="2:24" s="88" customFormat="1" x14ac:dyDescent="0.2">
      <c r="B6" s="9" t="s">
        <v>4</v>
      </c>
      <c r="C6" s="65">
        <f t="shared" ref="C6:U6" si="1">SUM(C7:C11)</f>
        <v>0</v>
      </c>
      <c r="D6" s="65">
        <f t="shared" si="1"/>
        <v>2550918780.6999998</v>
      </c>
      <c r="E6" s="65">
        <f t="shared" si="1"/>
        <v>2844510556.0999999</v>
      </c>
      <c r="F6" s="65">
        <f t="shared" si="1"/>
        <v>3480819422.0999999</v>
      </c>
      <c r="G6" s="65">
        <f t="shared" si="1"/>
        <v>3453647212.1999998</v>
      </c>
      <c r="H6" s="65">
        <f t="shared" si="1"/>
        <v>3453647212.1999998</v>
      </c>
      <c r="I6" s="65">
        <f t="shared" si="1"/>
        <v>2817338346.1999998</v>
      </c>
      <c r="J6" s="65">
        <f t="shared" si="1"/>
        <v>2817338346.1999998</v>
      </c>
      <c r="K6" s="65">
        <f t="shared" si="1"/>
        <v>2817338346.1999998</v>
      </c>
      <c r="L6" s="65">
        <f t="shared" si="1"/>
        <v>2817338346.1999998</v>
      </c>
      <c r="M6" s="65">
        <f t="shared" si="1"/>
        <v>2817338346.1999998</v>
      </c>
      <c r="N6" s="65">
        <f t="shared" si="1"/>
        <v>2817338346.1999998</v>
      </c>
      <c r="O6" s="65">
        <f t="shared" si="1"/>
        <v>2817338346.1999998</v>
      </c>
      <c r="P6" s="65">
        <f t="shared" si="1"/>
        <v>266419565.5</v>
      </c>
      <c r="Q6" s="65">
        <f t="shared" si="1"/>
        <v>266419565.5</v>
      </c>
      <c r="R6" s="65">
        <f t="shared" si="1"/>
        <v>266419565.5</v>
      </c>
      <c r="S6" s="65">
        <f t="shared" si="1"/>
        <v>266419565.5</v>
      </c>
      <c r="T6" s="65">
        <f t="shared" si="1"/>
        <v>266419565.5</v>
      </c>
      <c r="U6" s="65">
        <f t="shared" si="1"/>
        <v>266419565.5</v>
      </c>
      <c r="V6" s="65">
        <f>SUM(V7:V11)</f>
        <v>37103428999.700012</v>
      </c>
    </row>
    <row r="7" spans="2:24" ht="28.5" customHeight="1" x14ac:dyDescent="0.2">
      <c r="B7" s="12" t="s">
        <v>324</v>
      </c>
      <c r="C7" s="62">
        <f>+'P1.1'!D8</f>
        <v>0</v>
      </c>
      <c r="D7" s="62">
        <f>+'P1.1'!E8</f>
        <v>0</v>
      </c>
      <c r="E7" s="62">
        <f>+'P1.1'!F8</f>
        <v>266419565.5</v>
      </c>
      <c r="F7" s="62">
        <f>+'P1.1'!G8</f>
        <v>266419565.5</v>
      </c>
      <c r="G7" s="62">
        <f>+'P1.1'!H8</f>
        <v>266419565.5</v>
      </c>
      <c r="H7" s="62">
        <f>+'P1.1'!I8</f>
        <v>266419565.5</v>
      </c>
      <c r="I7" s="62">
        <f>+'P1.1'!J8</f>
        <v>266419565.5</v>
      </c>
      <c r="J7" s="62">
        <f>+'P1.1'!K8</f>
        <v>266419565.5</v>
      </c>
      <c r="K7" s="62">
        <f>+'P1.1'!L8</f>
        <v>266419565.5</v>
      </c>
      <c r="L7" s="62">
        <f>+'P1.1'!M8</f>
        <v>266419565.5</v>
      </c>
      <c r="M7" s="62">
        <f>+'P1.1'!N8</f>
        <v>266419565.5</v>
      </c>
      <c r="N7" s="62">
        <f>+'P1.1'!O8</f>
        <v>266419565.5</v>
      </c>
      <c r="O7" s="62">
        <f>+'P1.1'!P8</f>
        <v>266419565.5</v>
      </c>
      <c r="P7" s="62">
        <f>+'P1.1'!Q8</f>
        <v>266419565.5</v>
      </c>
      <c r="Q7" s="62">
        <f>+'P1.1'!R8</f>
        <v>266419565.5</v>
      </c>
      <c r="R7" s="62">
        <f>+'P1.1'!S8</f>
        <v>266419565.5</v>
      </c>
      <c r="S7" s="62">
        <f>+'P1.1'!T8</f>
        <v>266419565.5</v>
      </c>
      <c r="T7" s="62">
        <f>+'P1.1'!U8</f>
        <v>266419565.5</v>
      </c>
      <c r="U7" s="62">
        <f>+'P1.1'!V8</f>
        <v>266419565.5</v>
      </c>
      <c r="V7" s="63">
        <f>SUM(C7:U7)</f>
        <v>4529132613.5</v>
      </c>
    </row>
    <row r="8" spans="2:24" ht="27" customHeight="1" x14ac:dyDescent="0.2">
      <c r="B8" s="12" t="s">
        <v>325</v>
      </c>
      <c r="C8" s="62">
        <f>+'P1.1'!D9</f>
        <v>0</v>
      </c>
      <c r="D8" s="62">
        <f>+'P1.1'!E9</f>
        <v>2550918780.6999998</v>
      </c>
      <c r="E8" s="62">
        <f>+'P1.1'!F9</f>
        <v>2550918780.6999998</v>
      </c>
      <c r="F8" s="62">
        <f>+'P1.1'!G9</f>
        <v>2550918780.6999998</v>
      </c>
      <c r="G8" s="62">
        <f>+'P1.1'!H9</f>
        <v>2550918780.6999998</v>
      </c>
      <c r="H8" s="62">
        <f>+'P1.1'!I9</f>
        <v>2550918780.6999998</v>
      </c>
      <c r="I8" s="62">
        <f>+'P1.1'!J9</f>
        <v>2550918780.6999998</v>
      </c>
      <c r="J8" s="62">
        <f>+'P1.1'!K9</f>
        <v>2550918780.6999998</v>
      </c>
      <c r="K8" s="62">
        <f>+'P1.1'!L9</f>
        <v>2550918780.6999998</v>
      </c>
      <c r="L8" s="62">
        <f>+'P1.1'!M9</f>
        <v>2550918780.6999998</v>
      </c>
      <c r="M8" s="62">
        <f>+'P1.1'!N9</f>
        <v>2550918780.6999998</v>
      </c>
      <c r="N8" s="62">
        <f>+'P1.1'!O9</f>
        <v>2550918780.6999998</v>
      </c>
      <c r="O8" s="62">
        <f>+'P1.1'!P9</f>
        <v>2550918780.6999998</v>
      </c>
      <c r="P8" s="62">
        <f>+'P1.1'!Q9</f>
        <v>0</v>
      </c>
      <c r="Q8" s="62">
        <f>+'P1.1'!R9</f>
        <v>0</v>
      </c>
      <c r="R8" s="62">
        <f>+'P1.1'!S9</f>
        <v>0</v>
      </c>
      <c r="S8" s="62">
        <f>+'P1.1'!T9</f>
        <v>0</v>
      </c>
      <c r="T8" s="62">
        <f>+'P1.1'!U9</f>
        <v>0</v>
      </c>
      <c r="U8" s="62">
        <f>+'P1.1'!V9</f>
        <v>0</v>
      </c>
      <c r="V8" s="63">
        <f>SUM(C8:U8)</f>
        <v>30611025368.400005</v>
      </c>
    </row>
    <row r="9" spans="2:24" ht="33.75" customHeight="1" x14ac:dyDescent="0.2">
      <c r="B9" s="12" t="s">
        <v>326</v>
      </c>
      <c r="C9" s="62">
        <f>+'P1.1'!D10</f>
        <v>0</v>
      </c>
      <c r="D9" s="62">
        <f>+'P1.1'!E10</f>
        <v>0</v>
      </c>
      <c r="E9" s="62">
        <f>+'P1.1'!F10</f>
        <v>0</v>
      </c>
      <c r="F9" s="62">
        <f>+'P1.1'!G10</f>
        <v>224170699.5</v>
      </c>
      <c r="G9" s="62">
        <f>+'P1.1'!H10</f>
        <v>224170699.5</v>
      </c>
      <c r="H9" s="62">
        <f>+'P1.1'!I10</f>
        <v>224170699.5</v>
      </c>
      <c r="I9" s="62" t="str">
        <f>+'P1.1'!J10</f>
        <v>Presupuesto relativo</v>
      </c>
      <c r="J9" s="62" t="str">
        <f>+'P1.1'!K10</f>
        <v>Presupuesto relativo</v>
      </c>
      <c r="K9" s="62" t="str">
        <f>+'P1.1'!L10</f>
        <v>Presupuesto relativo</v>
      </c>
      <c r="L9" s="62" t="str">
        <f>+'P1.1'!M10</f>
        <v>Presupuesto relativo</v>
      </c>
      <c r="M9" s="62" t="str">
        <f>+'P1.1'!N10</f>
        <v>Presupuesto relativo</v>
      </c>
      <c r="N9" s="62" t="str">
        <f>+'P1.1'!O10</f>
        <v>Presupuesto relativo</v>
      </c>
      <c r="O9" s="62" t="str">
        <f>+'P1.1'!P10</f>
        <v>Presupuesto relativo</v>
      </c>
      <c r="P9" s="62" t="str">
        <f>+'P1.1'!Q10</f>
        <v>Presupuesto relativo</v>
      </c>
      <c r="Q9" s="62" t="str">
        <f>+'P1.1'!R10</f>
        <v>Presupuesto relativo</v>
      </c>
      <c r="R9" s="62" t="str">
        <f>+'P1.1'!S10</f>
        <v>Presupuesto relativo</v>
      </c>
      <c r="S9" s="62" t="str">
        <f>+'P1.1'!T10</f>
        <v>Presupuesto relativo</v>
      </c>
      <c r="T9" s="62" t="str">
        <f>+'P1.1'!U10</f>
        <v>Presupuesto relativo</v>
      </c>
      <c r="U9" s="62" t="str">
        <f>+'P1.1'!V10</f>
        <v>Presupuesto relativo</v>
      </c>
      <c r="V9" s="63">
        <f t="shared" ref="V9:V15" si="2">SUM(C9:U9)</f>
        <v>672512098.5</v>
      </c>
    </row>
    <row r="10" spans="2:24" ht="30" customHeight="1" x14ac:dyDescent="0.2">
      <c r="B10" s="12" t="s">
        <v>327</v>
      </c>
      <c r="C10" s="62">
        <f>+'P1.1'!D11</f>
        <v>0</v>
      </c>
      <c r="D10" s="62">
        <f>+'P1.1'!E11</f>
        <v>0</v>
      </c>
      <c r="E10" s="62">
        <f>+'P1.1'!F11</f>
        <v>0</v>
      </c>
      <c r="F10" s="62">
        <f>+'P1.1'!G11</f>
        <v>412138166.5</v>
      </c>
      <c r="G10" s="62">
        <f>+'P1.1'!H11</f>
        <v>412138166.5</v>
      </c>
      <c r="H10" s="62">
        <f>+'P1.1'!I11</f>
        <v>412138166.5</v>
      </c>
      <c r="I10" s="62" t="str">
        <f>+'P1.1'!J11</f>
        <v>Presupuesto relativo</v>
      </c>
      <c r="J10" s="62" t="str">
        <f>+'P1.1'!K11</f>
        <v>Presupuesto relativo</v>
      </c>
      <c r="K10" s="62" t="str">
        <f>+'P1.1'!L11</f>
        <v>Presupuesto relativo</v>
      </c>
      <c r="L10" s="62" t="str">
        <f>+'P1.1'!M11</f>
        <v>Presupuesto relativo</v>
      </c>
      <c r="M10" s="62" t="str">
        <f>+'P1.1'!N11</f>
        <v>Presupuesto relativo</v>
      </c>
      <c r="N10" s="62" t="str">
        <f>+'P1.1'!O11</f>
        <v>Presupuesto relativo</v>
      </c>
      <c r="O10" s="62" t="str">
        <f>+'P1.1'!P11</f>
        <v>Presupuesto relativo</v>
      </c>
      <c r="P10" s="62" t="str">
        <f>+'P1.1'!Q11</f>
        <v>Presupuesto relativo</v>
      </c>
      <c r="Q10" s="62" t="str">
        <f>+'P1.1'!R11</f>
        <v>Presupuesto relativo</v>
      </c>
      <c r="R10" s="62" t="str">
        <f>+'P1.1'!S11</f>
        <v>Presupuesto relativo</v>
      </c>
      <c r="S10" s="62" t="str">
        <f>+'P1.1'!T11</f>
        <v>Presupuesto relativo</v>
      </c>
      <c r="T10" s="62" t="str">
        <f>+'P1.1'!U11</f>
        <v>Presupuesto relativo</v>
      </c>
      <c r="U10" s="62" t="str">
        <f>+'P1.1'!V11</f>
        <v>Presupuesto relativo</v>
      </c>
      <c r="V10" s="63">
        <f t="shared" si="2"/>
        <v>1236414499.5</v>
      </c>
    </row>
    <row r="11" spans="2:24" ht="37.5" customHeight="1" x14ac:dyDescent="0.2">
      <c r="B11" s="12" t="s">
        <v>328</v>
      </c>
      <c r="C11" s="62">
        <f>+'P1.1'!D12</f>
        <v>0</v>
      </c>
      <c r="D11" s="62">
        <f>+'P1.1'!E12</f>
        <v>0</v>
      </c>
      <c r="E11" s="62">
        <f>+'P1.1'!F12</f>
        <v>27172209.899999999</v>
      </c>
      <c r="F11" s="62">
        <f>+'P1.1'!G12</f>
        <v>27172209.899999999</v>
      </c>
      <c r="G11" s="62" t="str">
        <f>+'P1.1'!H12</f>
        <v>Presupuesto relativo</v>
      </c>
      <c r="H11" s="62" t="str">
        <f>+'P1.1'!I12</f>
        <v>Presupuesto relativo</v>
      </c>
      <c r="I11" s="62" t="str">
        <f>+'P1.1'!J12</f>
        <v>Presupuesto relativo</v>
      </c>
      <c r="J11" s="62" t="str">
        <f>+'P1.1'!K12</f>
        <v>Presupuesto relativo</v>
      </c>
      <c r="K11" s="62" t="str">
        <f>+'P1.1'!L12</f>
        <v>Presupuesto relativo</v>
      </c>
      <c r="L11" s="62" t="str">
        <f>+'P1.1'!M12</f>
        <v>Presupuesto relativo</v>
      </c>
      <c r="M11" s="62" t="str">
        <f>+'P1.1'!N12</f>
        <v>Presupuesto relativo</v>
      </c>
      <c r="N11" s="62" t="str">
        <f>+'P1.1'!O12</f>
        <v>Presupuesto relativo</v>
      </c>
      <c r="O11" s="62" t="str">
        <f>+'P1.1'!P12</f>
        <v>Presupuesto relativo</v>
      </c>
      <c r="P11" s="62" t="str">
        <f>+'P1.1'!Q12</f>
        <v>Presupuesto relativo</v>
      </c>
      <c r="Q11" s="62" t="str">
        <f>+'P1.1'!R12</f>
        <v>Presupuesto relativo</v>
      </c>
      <c r="R11" s="62" t="str">
        <f>+'P1.1'!S12</f>
        <v>Presupuesto relativo</v>
      </c>
      <c r="S11" s="62">
        <f>+'P1.1'!T12</f>
        <v>0</v>
      </c>
      <c r="T11" s="62">
        <f>+'P1.1'!U12</f>
        <v>0</v>
      </c>
      <c r="U11" s="62">
        <f>+'P1.1'!V12</f>
        <v>0</v>
      </c>
      <c r="V11" s="63">
        <f t="shared" si="2"/>
        <v>54344419.799999997</v>
      </c>
    </row>
    <row r="12" spans="2:24" s="88" customFormat="1" ht="14.25" customHeight="1" x14ac:dyDescent="0.2">
      <c r="B12" s="9" t="s">
        <v>5</v>
      </c>
      <c r="C12" s="65">
        <f t="shared" ref="C12:U12" si="3">SUM(C13:C15)</f>
        <v>0</v>
      </c>
      <c r="D12" s="65">
        <f t="shared" si="3"/>
        <v>0</v>
      </c>
      <c r="E12" s="65">
        <f t="shared" si="3"/>
        <v>723880863.64999998</v>
      </c>
      <c r="F12" s="65">
        <f t="shared" si="3"/>
        <v>1250042781</v>
      </c>
      <c r="G12" s="65">
        <f t="shared" si="3"/>
        <v>1250042781</v>
      </c>
      <c r="H12" s="65">
        <f t="shared" si="3"/>
        <v>526161917.35000002</v>
      </c>
      <c r="I12" s="65">
        <f t="shared" si="3"/>
        <v>0</v>
      </c>
      <c r="J12" s="65">
        <f t="shared" si="3"/>
        <v>0</v>
      </c>
      <c r="K12" s="65">
        <f t="shared" si="3"/>
        <v>0</v>
      </c>
      <c r="L12" s="65">
        <f t="shared" si="3"/>
        <v>0</v>
      </c>
      <c r="M12" s="65">
        <f t="shared" si="3"/>
        <v>0</v>
      </c>
      <c r="N12" s="65">
        <f t="shared" si="3"/>
        <v>0</v>
      </c>
      <c r="O12" s="65">
        <f t="shared" si="3"/>
        <v>0</v>
      </c>
      <c r="P12" s="65">
        <f t="shared" si="3"/>
        <v>0</v>
      </c>
      <c r="Q12" s="65">
        <f t="shared" si="3"/>
        <v>0</v>
      </c>
      <c r="R12" s="65">
        <f t="shared" si="3"/>
        <v>0</v>
      </c>
      <c r="S12" s="65">
        <f t="shared" si="3"/>
        <v>0</v>
      </c>
      <c r="T12" s="65">
        <f t="shared" si="3"/>
        <v>0</v>
      </c>
      <c r="U12" s="65">
        <f t="shared" si="3"/>
        <v>0</v>
      </c>
      <c r="V12" s="65">
        <f>SUM(V13:V15)</f>
        <v>3750128342.9999995</v>
      </c>
    </row>
    <row r="13" spans="2:24" ht="15" customHeight="1" x14ac:dyDescent="0.2">
      <c r="B13" s="12" t="s">
        <v>330</v>
      </c>
      <c r="C13" s="62">
        <f>+'P1.2'!D8</f>
        <v>0</v>
      </c>
      <c r="D13" s="62">
        <f>+'P1.2'!E8</f>
        <v>0</v>
      </c>
      <c r="E13" s="62">
        <f>+'P1.2'!F8</f>
        <v>723880863.64999998</v>
      </c>
      <c r="F13" s="62">
        <f>+'P1.2'!G8</f>
        <v>723880863.64999998</v>
      </c>
      <c r="G13" s="62">
        <f>+'P1.2'!H8</f>
        <v>723880863.64999998</v>
      </c>
      <c r="H13" s="62">
        <f>+'P1.2'!I8</f>
        <v>0</v>
      </c>
      <c r="I13" s="62">
        <f>+'P1.2'!J8</f>
        <v>0</v>
      </c>
      <c r="J13" s="62">
        <f>+'P1.2'!K8</f>
        <v>0</v>
      </c>
      <c r="K13" s="62">
        <f>+'P1.2'!L8</f>
        <v>0</v>
      </c>
      <c r="L13" s="62">
        <f>+'P1.2'!M8</f>
        <v>0</v>
      </c>
      <c r="M13" s="62">
        <f>+'P1.2'!N8</f>
        <v>0</v>
      </c>
      <c r="N13" s="62">
        <f>+'P1.2'!O8</f>
        <v>0</v>
      </c>
      <c r="O13" s="62">
        <f>+'P1.2'!P8</f>
        <v>0</v>
      </c>
      <c r="P13" s="62">
        <f>+'P1.2'!Q8</f>
        <v>0</v>
      </c>
      <c r="Q13" s="62">
        <f>+'P1.2'!R8</f>
        <v>0</v>
      </c>
      <c r="R13" s="62">
        <f>+'P1.2'!S8</f>
        <v>0</v>
      </c>
      <c r="S13" s="62">
        <f>+'P1.2'!T8</f>
        <v>0</v>
      </c>
      <c r="T13" s="62">
        <f>+'P1.2'!U8</f>
        <v>0</v>
      </c>
      <c r="U13" s="62">
        <f>+'P1.2'!V8</f>
        <v>0</v>
      </c>
      <c r="V13" s="63">
        <f t="shared" si="2"/>
        <v>2171642590.9499998</v>
      </c>
    </row>
    <row r="14" spans="2:24" ht="36" x14ac:dyDescent="0.2">
      <c r="B14" s="12" t="s">
        <v>332</v>
      </c>
      <c r="C14" s="62">
        <f>+'P1.2'!D9</f>
        <v>0</v>
      </c>
      <c r="D14" s="62">
        <f>+'P1.2'!E9</f>
        <v>0</v>
      </c>
      <c r="E14" s="62">
        <f>+'P1.2'!F9</f>
        <v>0</v>
      </c>
      <c r="F14" s="62">
        <f>+'P1.2'!G9</f>
        <v>256601288.65000001</v>
      </c>
      <c r="G14" s="62">
        <f>+'P1.2'!H9</f>
        <v>256601288.65000001</v>
      </c>
      <c r="H14" s="62">
        <f>+'P1.2'!I9</f>
        <v>256601288.65000001</v>
      </c>
      <c r="I14" s="62" t="str">
        <f>+'P1.2'!J9</f>
        <v>Presupuesto relativo</v>
      </c>
      <c r="J14" s="62" t="str">
        <f>+'P1.2'!K9</f>
        <v>Presupuesto relativo</v>
      </c>
      <c r="K14" s="62" t="str">
        <f>+'P1.2'!L9</f>
        <v>Presupuesto relativo</v>
      </c>
      <c r="L14" s="62" t="str">
        <f>+'P1.2'!M9</f>
        <v>Presupuesto relativo</v>
      </c>
      <c r="M14" s="62" t="str">
        <f>+'P1.2'!N9</f>
        <v>Presupuesto relativo</v>
      </c>
      <c r="N14" s="62" t="str">
        <f>+'P1.2'!O9</f>
        <v>Presupuesto relativo</v>
      </c>
      <c r="O14" s="62" t="str">
        <f>+'P1.2'!P9</f>
        <v>Presupuesto relativo</v>
      </c>
      <c r="P14" s="62" t="str">
        <f>+'P1.2'!Q9</f>
        <v>Presupuesto relativo</v>
      </c>
      <c r="Q14" s="62" t="str">
        <f>+'P1.2'!R9</f>
        <v>Presupuesto relativo</v>
      </c>
      <c r="R14" s="62" t="str">
        <f>+'P1.2'!S9</f>
        <v>Presupuesto relativo</v>
      </c>
      <c r="S14" s="62" t="str">
        <f>+'P1.2'!T9</f>
        <v>Presupuesto relativo</v>
      </c>
      <c r="T14" s="62" t="str">
        <f>+'P1.2'!U9</f>
        <v>Presupuesto relativo</v>
      </c>
      <c r="U14" s="62" t="str">
        <f>+'P1.2'!V9</f>
        <v>Presupuesto relativo</v>
      </c>
      <c r="V14" s="63">
        <f t="shared" si="2"/>
        <v>769803865.95000005</v>
      </c>
    </row>
    <row r="15" spans="2:24" ht="27" customHeight="1" x14ac:dyDescent="0.2">
      <c r="B15" s="12" t="s">
        <v>331</v>
      </c>
      <c r="C15" s="62">
        <f>+'P1.2'!D10</f>
        <v>0</v>
      </c>
      <c r="D15" s="62">
        <f>+'P1.2'!E10</f>
        <v>0</v>
      </c>
      <c r="E15" s="62">
        <f>+'P1.2'!F10</f>
        <v>0</v>
      </c>
      <c r="F15" s="62">
        <f>+'P1.2'!G10</f>
        <v>269560628.69999999</v>
      </c>
      <c r="G15" s="62">
        <f>+'P1.2'!H10</f>
        <v>269560628.69999999</v>
      </c>
      <c r="H15" s="62">
        <f>+'P1.2'!I10</f>
        <v>269560628.69999999</v>
      </c>
      <c r="I15" s="62" t="str">
        <f>+'P1.2'!J10</f>
        <v>Presupuesto Relativo</v>
      </c>
      <c r="J15" s="62" t="str">
        <f>+'P1.2'!K10</f>
        <v>Presupuesto Relativo</v>
      </c>
      <c r="K15" s="62" t="str">
        <f>+'P1.2'!L10</f>
        <v>Presupuesto Relativo</v>
      </c>
      <c r="L15" s="62" t="str">
        <f>+'P1.2'!M10</f>
        <v>Presupuesto Relativo</v>
      </c>
      <c r="M15" s="62" t="str">
        <f>+'P1.2'!N10</f>
        <v>Presupuesto Relativo</v>
      </c>
      <c r="N15" s="62" t="str">
        <f>+'P1.2'!O10</f>
        <v>Presupuesto Relativo</v>
      </c>
      <c r="O15" s="62" t="str">
        <f>+'P1.2'!P10</f>
        <v>Presupuesto Relativo</v>
      </c>
      <c r="P15" s="62" t="str">
        <f>+'P1.2'!Q10</f>
        <v>Presupuesto Relativo</v>
      </c>
      <c r="Q15" s="62" t="str">
        <f>+'P1.2'!R10</f>
        <v>Presupuesto Relativo</v>
      </c>
      <c r="R15" s="62" t="str">
        <f>+'P1.2'!S10</f>
        <v>Presupuesto Relativo</v>
      </c>
      <c r="S15" s="62" t="str">
        <f>+'P1.2'!T10</f>
        <v>Presupuesto Relativo</v>
      </c>
      <c r="T15" s="62" t="str">
        <f>+'P1.2'!U10</f>
        <v>Presupuesto Relativo</v>
      </c>
      <c r="U15" s="62" t="str">
        <f>+'P1.2'!V10</f>
        <v>Presupuesto Relativo</v>
      </c>
      <c r="V15" s="63">
        <f t="shared" si="2"/>
        <v>808681886.0999999</v>
      </c>
    </row>
    <row r="16" spans="2:24" s="88" customFormat="1" ht="13.5" customHeight="1" x14ac:dyDescent="0.2">
      <c r="B16" s="9" t="s">
        <v>6</v>
      </c>
      <c r="C16" s="65">
        <f t="shared" ref="C16:U16" si="4">SUM(C17:C19)</f>
        <v>0</v>
      </c>
      <c r="D16" s="65">
        <f t="shared" si="4"/>
        <v>141817481.39999998</v>
      </c>
      <c r="E16" s="65">
        <f t="shared" si="4"/>
        <v>141817481.39999998</v>
      </c>
      <c r="F16" s="65">
        <f t="shared" si="4"/>
        <v>275976263.19999999</v>
      </c>
      <c r="G16" s="65">
        <f t="shared" si="4"/>
        <v>275976263.19999999</v>
      </c>
      <c r="H16" s="65">
        <f t="shared" si="4"/>
        <v>52800541.199999996</v>
      </c>
      <c r="I16" s="65">
        <f t="shared" si="4"/>
        <v>52800541.199999996</v>
      </c>
      <c r="J16" s="65">
        <f t="shared" si="4"/>
        <v>52800541.199999996</v>
      </c>
      <c r="K16" s="65">
        <f t="shared" si="4"/>
        <v>52800541.199999996</v>
      </c>
      <c r="L16" s="65">
        <f t="shared" si="4"/>
        <v>52800541.199999996</v>
      </c>
      <c r="M16" s="65">
        <f t="shared" si="4"/>
        <v>52800541.199999996</v>
      </c>
      <c r="N16" s="65">
        <f t="shared" si="4"/>
        <v>52800541.199999996</v>
      </c>
      <c r="O16" s="65">
        <f t="shared" si="4"/>
        <v>52800541.199999996</v>
      </c>
      <c r="P16" s="65">
        <f t="shared" si="4"/>
        <v>52800541.199999996</v>
      </c>
      <c r="Q16" s="65">
        <f t="shared" si="4"/>
        <v>52800541.199999996</v>
      </c>
      <c r="R16" s="65">
        <f t="shared" si="4"/>
        <v>52800541.199999996</v>
      </c>
      <c r="S16" s="65">
        <f t="shared" si="4"/>
        <v>52800541.199999996</v>
      </c>
      <c r="T16" s="65">
        <f t="shared" si="4"/>
        <v>52800541.199999996</v>
      </c>
      <c r="U16" s="65">
        <f t="shared" si="4"/>
        <v>52800541.199999996</v>
      </c>
      <c r="V16" s="65">
        <f>SUM(V17:V19)</f>
        <v>1574795066.0000005</v>
      </c>
    </row>
    <row r="17" spans="2:24" ht="27" customHeight="1" x14ac:dyDescent="0.2">
      <c r="B17" s="12" t="s">
        <v>335</v>
      </c>
      <c r="C17" s="85">
        <f>+'P1.3'!D8</f>
        <v>0</v>
      </c>
      <c r="D17" s="85">
        <f>+'P1.3'!E8</f>
        <v>0</v>
      </c>
      <c r="E17" s="85">
        <f>+'P1.3'!F8</f>
        <v>0</v>
      </c>
      <c r="F17" s="85">
        <f>+'P1.3'!G8</f>
        <v>223175722</v>
      </c>
      <c r="G17" s="85">
        <f>+'P1.3'!H8</f>
        <v>223175722</v>
      </c>
      <c r="H17" s="85" t="str">
        <f>+'P1.3'!I8</f>
        <v>Presupuesto Relativo</v>
      </c>
      <c r="I17" s="85">
        <f>+'P1.3'!J8</f>
        <v>0</v>
      </c>
      <c r="J17" s="85">
        <f>+'P1.3'!K8</f>
        <v>0</v>
      </c>
      <c r="K17" s="85" t="str">
        <f>+'P1.3'!L8</f>
        <v>Presupuesto Relativo</v>
      </c>
      <c r="L17" s="85">
        <f>+'P1.3'!M8</f>
        <v>0</v>
      </c>
      <c r="M17" s="85">
        <f>+'P1.3'!N8</f>
        <v>0</v>
      </c>
      <c r="N17" s="85" t="str">
        <f>+'P1.3'!O8</f>
        <v>Presupuesto Relativo</v>
      </c>
      <c r="O17" s="85">
        <f>+'P1.3'!P8</f>
        <v>0</v>
      </c>
      <c r="P17" s="85">
        <f>+'P1.3'!Q8</f>
        <v>0</v>
      </c>
      <c r="Q17" s="85" t="str">
        <f>+'P1.3'!R8</f>
        <v>Presupuesto Relativo</v>
      </c>
      <c r="R17" s="85">
        <f>+'P1.3'!S8</f>
        <v>0</v>
      </c>
      <c r="S17" s="85">
        <f>+'P1.3'!T8</f>
        <v>0</v>
      </c>
      <c r="T17" s="85" t="str">
        <f>+'P1.3'!U8</f>
        <v>Presupuesto Relativo</v>
      </c>
      <c r="U17" s="85">
        <f>+'P1.3'!V8</f>
        <v>0</v>
      </c>
      <c r="V17" s="63">
        <f>SUM(C17:U17)</f>
        <v>446351444</v>
      </c>
    </row>
    <row r="18" spans="2:24" ht="27.75" customHeight="1" x14ac:dyDescent="0.2">
      <c r="B18" s="12" t="s">
        <v>336</v>
      </c>
      <c r="C18" s="85">
        <f>+'P1.3'!D9</f>
        <v>0</v>
      </c>
      <c r="D18" s="85">
        <f>+'P1.3'!E9</f>
        <v>87958667.399999991</v>
      </c>
      <c r="E18" s="85">
        <f>+'P1.3'!F9</f>
        <v>87958667.399999991</v>
      </c>
      <c r="F18" s="85">
        <f>+'P1.3'!G9</f>
        <v>52800541.199999996</v>
      </c>
      <c r="G18" s="85">
        <f>+'P1.3'!H9</f>
        <v>52800541.199999996</v>
      </c>
      <c r="H18" s="85">
        <f>+'P1.3'!I9</f>
        <v>52800541.199999996</v>
      </c>
      <c r="I18" s="85">
        <f>+'P1.3'!J9</f>
        <v>52800541.199999996</v>
      </c>
      <c r="J18" s="85">
        <f>+'P1.3'!K9</f>
        <v>52800541.199999996</v>
      </c>
      <c r="K18" s="85">
        <f>+'P1.3'!L9</f>
        <v>52800541.199999996</v>
      </c>
      <c r="L18" s="85">
        <f>+'P1.3'!M9</f>
        <v>52800541.199999996</v>
      </c>
      <c r="M18" s="85">
        <f>+'P1.3'!N9</f>
        <v>52800541.199999996</v>
      </c>
      <c r="N18" s="85">
        <f>+'P1.3'!O9</f>
        <v>52800541.199999996</v>
      </c>
      <c r="O18" s="85">
        <f>+'P1.3'!P9</f>
        <v>52800541.199999996</v>
      </c>
      <c r="P18" s="85">
        <f>+'P1.3'!Q9</f>
        <v>52800541.199999996</v>
      </c>
      <c r="Q18" s="85">
        <f>+'P1.3'!R9</f>
        <v>52800541.199999996</v>
      </c>
      <c r="R18" s="85">
        <f>+'P1.3'!S9</f>
        <v>52800541.199999996</v>
      </c>
      <c r="S18" s="85">
        <f>+'P1.3'!T9</f>
        <v>52800541.199999996</v>
      </c>
      <c r="T18" s="85">
        <f>+'P1.3'!U9</f>
        <v>52800541.199999996</v>
      </c>
      <c r="U18" s="85">
        <f>+'P1.3'!V9</f>
        <v>52800541.199999996</v>
      </c>
      <c r="V18" s="63">
        <f>SUM(C18:U18)</f>
        <v>1020725994.0000004</v>
      </c>
    </row>
    <row r="19" spans="2:24" ht="24" x14ac:dyDescent="0.2">
      <c r="B19" s="12" t="s">
        <v>337</v>
      </c>
      <c r="C19" s="85">
        <f>+'P1.3'!D10</f>
        <v>0</v>
      </c>
      <c r="D19" s="85">
        <f>+'P1.3'!E10</f>
        <v>53858814</v>
      </c>
      <c r="E19" s="85">
        <f>+'P1.3'!F10</f>
        <v>53858814</v>
      </c>
      <c r="F19" s="85" t="str">
        <f>+'P1.3'!G10</f>
        <v>Presupuesto Relativo</v>
      </c>
      <c r="G19" s="85" t="str">
        <f>+'P1.3'!H10</f>
        <v>Presupuesto Relativo</v>
      </c>
      <c r="H19" s="85" t="str">
        <f>+'P1.3'!I10</f>
        <v>Presupuesto Relativo</v>
      </c>
      <c r="I19" s="85" t="str">
        <f>+'P1.3'!J10</f>
        <v>Presupuesto Relativo</v>
      </c>
      <c r="J19" s="85" t="str">
        <f>+'P1.3'!K10</f>
        <v>Presupuesto Relativo</v>
      </c>
      <c r="K19" s="85" t="str">
        <f>+'P1.3'!L10</f>
        <v>Presupuesto Relativo</v>
      </c>
      <c r="L19" s="85" t="str">
        <f>+'P1.3'!M10</f>
        <v>Presupuesto Relativo</v>
      </c>
      <c r="M19" s="85" t="str">
        <f>+'P1.3'!N10</f>
        <v>Presupuesto Relativo</v>
      </c>
      <c r="N19" s="85" t="str">
        <f>+'P1.3'!O10</f>
        <v>Presupuesto Relativo</v>
      </c>
      <c r="O19" s="85" t="str">
        <f>+'P1.3'!P10</f>
        <v>Presupuesto Relativo</v>
      </c>
      <c r="P19" s="85" t="str">
        <f>+'P1.3'!Q10</f>
        <v>Presupuesto Relativo</v>
      </c>
      <c r="Q19" s="85" t="str">
        <f>+'P1.3'!R10</f>
        <v>Presupuesto Relativo</v>
      </c>
      <c r="R19" s="85" t="str">
        <f>+'P1.3'!S10</f>
        <v>Presupuesto Relativo</v>
      </c>
      <c r="S19" s="85" t="str">
        <f>+'P1.3'!T10</f>
        <v>Presupuesto Relativo</v>
      </c>
      <c r="T19" s="85" t="str">
        <f>+'P1.3'!U10</f>
        <v>Presupuesto Relativo</v>
      </c>
      <c r="U19" s="85" t="str">
        <f>+'P1.3'!V10</f>
        <v>Presupuesto Relativo</v>
      </c>
      <c r="V19" s="63">
        <f>SUM(C19:U19)</f>
        <v>107717628</v>
      </c>
    </row>
    <row r="20" spans="2:24" s="88" customFormat="1" ht="19.5" customHeight="1" x14ac:dyDescent="0.2">
      <c r="B20" s="9" t="s">
        <v>3</v>
      </c>
      <c r="C20" s="65">
        <f t="shared" ref="C20:U20" si="5">SUM(C21:C25)</f>
        <v>0</v>
      </c>
      <c r="D20" s="65">
        <f t="shared" si="5"/>
        <v>0</v>
      </c>
      <c r="E20" s="65">
        <f t="shared" si="5"/>
        <v>0</v>
      </c>
      <c r="F20" s="65">
        <f t="shared" si="5"/>
        <v>116628802</v>
      </c>
      <c r="G20" s="65">
        <f t="shared" si="5"/>
        <v>1159173034</v>
      </c>
      <c r="H20" s="65">
        <f t="shared" si="5"/>
        <v>1159173034</v>
      </c>
      <c r="I20" s="65">
        <f t="shared" si="5"/>
        <v>917804289</v>
      </c>
      <c r="J20" s="65">
        <f t="shared" si="5"/>
        <v>778051065</v>
      </c>
      <c r="K20" s="65">
        <f t="shared" si="5"/>
        <v>778051065</v>
      </c>
      <c r="L20" s="65">
        <f t="shared" si="5"/>
        <v>1015493928</v>
      </c>
      <c r="M20" s="65">
        <f t="shared" si="5"/>
        <v>662157300</v>
      </c>
      <c r="N20" s="65">
        <f t="shared" si="5"/>
        <v>662157300</v>
      </c>
      <c r="O20" s="65">
        <f t="shared" si="5"/>
        <v>662157300</v>
      </c>
      <c r="P20" s="65">
        <f t="shared" si="5"/>
        <v>1015493928</v>
      </c>
      <c r="Q20" s="65">
        <f t="shared" si="5"/>
        <v>112702920</v>
      </c>
      <c r="R20" s="65">
        <f t="shared" si="5"/>
        <v>112702920</v>
      </c>
      <c r="S20" s="65">
        <f t="shared" si="5"/>
        <v>112702920</v>
      </c>
      <c r="T20" s="65">
        <f t="shared" si="5"/>
        <v>466039548</v>
      </c>
      <c r="U20" s="65">
        <f t="shared" si="5"/>
        <v>112702920</v>
      </c>
      <c r="V20" s="65">
        <f>SUM(V21:V25)</f>
        <v>9843192273</v>
      </c>
    </row>
    <row r="21" spans="2:24" ht="24" x14ac:dyDescent="0.2">
      <c r="B21" s="12" t="s">
        <v>339</v>
      </c>
      <c r="C21" s="181">
        <f>+'P1.4'!D8</f>
        <v>0</v>
      </c>
      <c r="D21" s="181">
        <f>+'P1.4'!E8</f>
        <v>0</v>
      </c>
      <c r="E21" s="181">
        <f>+'P1.4'!F8</f>
        <v>0</v>
      </c>
      <c r="F21" s="181">
        <f>+'P1.4'!G8</f>
        <v>116628802</v>
      </c>
      <c r="G21" s="181">
        <f>+'P1.4'!H8</f>
        <v>116628802</v>
      </c>
      <c r="H21" s="181">
        <f>+'P1.4'!I8</f>
        <v>116628802</v>
      </c>
      <c r="I21" s="181">
        <f>+'P1.4'!J8</f>
        <v>112702920</v>
      </c>
      <c r="J21" s="181">
        <f>+'P1.4'!K8</f>
        <v>112702920</v>
      </c>
      <c r="K21" s="181">
        <f>+'P1.4'!L8</f>
        <v>112702920</v>
      </c>
      <c r="L21" s="181">
        <f>+'P1.4'!M8</f>
        <v>112702920</v>
      </c>
      <c r="M21" s="181">
        <f>+'P1.4'!N8</f>
        <v>112702920</v>
      </c>
      <c r="N21" s="181">
        <f>+'P1.4'!O8</f>
        <v>112702920</v>
      </c>
      <c r="O21" s="181">
        <f>+'P1.4'!P8</f>
        <v>112702920</v>
      </c>
      <c r="P21" s="181">
        <f>+'P1.4'!Q8</f>
        <v>112702920</v>
      </c>
      <c r="Q21" s="181">
        <f>+'P1.4'!R8</f>
        <v>112702920</v>
      </c>
      <c r="R21" s="181">
        <f>+'P1.4'!S8</f>
        <v>112702920</v>
      </c>
      <c r="S21" s="181">
        <f>+'P1.4'!T8</f>
        <v>112702920</v>
      </c>
      <c r="T21" s="181">
        <f>+'P1.4'!U8</f>
        <v>112702920</v>
      </c>
      <c r="U21" s="181">
        <f>+'P1.4'!V8</f>
        <v>112702920</v>
      </c>
      <c r="V21" s="63">
        <f>SUM(C21:U21)</f>
        <v>1815024366</v>
      </c>
    </row>
    <row r="22" spans="2:24" ht="36" x14ac:dyDescent="0.2">
      <c r="B22" s="12" t="s">
        <v>340</v>
      </c>
      <c r="C22" s="181">
        <f>+'P1.4'!D9</f>
        <v>0</v>
      </c>
      <c r="D22" s="181">
        <f>+'P1.4'!E9</f>
        <v>0</v>
      </c>
      <c r="E22" s="181">
        <f>+'P1.4'!F9</f>
        <v>0</v>
      </c>
      <c r="F22" s="181">
        <f>+'P1.4'!G9</f>
        <v>0</v>
      </c>
      <c r="G22" s="181">
        <f>+'P1.4'!H9</f>
        <v>139753224</v>
      </c>
      <c r="H22" s="181">
        <f>+'P1.4'!I9</f>
        <v>139753224</v>
      </c>
      <c r="I22" s="181">
        <f>+'P1.4'!J9</f>
        <v>139753224</v>
      </c>
      <c r="J22" s="181" t="str">
        <f>+'P1.4'!K9</f>
        <v>Presupuesto relativo</v>
      </c>
      <c r="K22" s="181" t="str">
        <f>+'P1.4'!L9</f>
        <v>Presupuesto relativo</v>
      </c>
      <c r="L22" s="181" t="str">
        <f>+'P1.4'!M9</f>
        <v>Presupuesto relativo</v>
      </c>
      <c r="M22" s="181" t="str">
        <f>+'P1.4'!N9</f>
        <v>Presupuesto relativo</v>
      </c>
      <c r="N22" s="181" t="str">
        <f>+'P1.4'!O9</f>
        <v>Presupuesto relativo</v>
      </c>
      <c r="O22" s="181" t="str">
        <f>+'P1.4'!P9</f>
        <v>Presupuesto relativo</v>
      </c>
      <c r="P22" s="181" t="str">
        <f>+'P1.4'!Q9</f>
        <v>Presupuesto relativo</v>
      </c>
      <c r="Q22" s="181" t="str">
        <f>+'P1.4'!R9</f>
        <v>Presupuesto relativo</v>
      </c>
      <c r="R22" s="181" t="str">
        <f>+'P1.4'!S9</f>
        <v>Presupuesto relativo</v>
      </c>
      <c r="S22" s="181" t="str">
        <f>+'P1.4'!T9</f>
        <v>Presupuesto relativo</v>
      </c>
      <c r="T22" s="181" t="str">
        <f>+'P1.4'!U9</f>
        <v>Presupuesto relativo</v>
      </c>
      <c r="U22" s="181" t="str">
        <f>+'P1.4'!V9</f>
        <v>Presupuesto relativo</v>
      </c>
      <c r="V22" s="63">
        <f>SUM(C22:U22)</f>
        <v>419259672</v>
      </c>
    </row>
    <row r="23" spans="2:24" ht="52.5" customHeight="1" x14ac:dyDescent="0.2">
      <c r="B23" s="12" t="s">
        <v>341</v>
      </c>
      <c r="C23" s="181">
        <f>+'P1.4'!D10</f>
        <v>0</v>
      </c>
      <c r="D23" s="181">
        <f>+'P1.4'!E10</f>
        <v>0</v>
      </c>
      <c r="E23" s="181">
        <f>+'P1.4'!F10</f>
        <v>0</v>
      </c>
      <c r="F23" s="181">
        <f>+'P1.4'!G10</f>
        <v>0</v>
      </c>
      <c r="G23" s="181">
        <f>+'P1.4'!H10</f>
        <v>549454380</v>
      </c>
      <c r="H23" s="181">
        <f>+'P1.4'!I10</f>
        <v>549454380</v>
      </c>
      <c r="I23" s="181">
        <f>+'P1.4'!J10</f>
        <v>549454380</v>
      </c>
      <c r="J23" s="181">
        <f>+'P1.4'!K10</f>
        <v>549454380</v>
      </c>
      <c r="K23" s="181">
        <f>+'P1.4'!L10</f>
        <v>549454380</v>
      </c>
      <c r="L23" s="181">
        <f>+'P1.4'!M10</f>
        <v>549454380</v>
      </c>
      <c r="M23" s="181">
        <f>+'P1.4'!N10</f>
        <v>549454380</v>
      </c>
      <c r="N23" s="181">
        <f>+'P1.4'!O10</f>
        <v>549454380</v>
      </c>
      <c r="O23" s="181">
        <f>+'P1.4'!P10</f>
        <v>549454380</v>
      </c>
      <c r="P23" s="181">
        <f>+'P1.4'!Q10</f>
        <v>549454380</v>
      </c>
      <c r="Q23" s="181">
        <f>+'P1.4'!R10</f>
        <v>0</v>
      </c>
      <c r="R23" s="181">
        <f>+'P1.4'!S10</f>
        <v>0</v>
      </c>
      <c r="S23" s="181">
        <f>+'P1.4'!T10</f>
        <v>0</v>
      </c>
      <c r="T23" s="181">
        <f>+'P1.4'!U10</f>
        <v>0</v>
      </c>
      <c r="U23" s="181">
        <f>+'P1.4'!V10</f>
        <v>0</v>
      </c>
      <c r="V23" s="63">
        <f>SUM(C23:U23)</f>
        <v>5494543800</v>
      </c>
    </row>
    <row r="24" spans="2:24" ht="36" x14ac:dyDescent="0.2">
      <c r="B24" s="12" t="s">
        <v>342</v>
      </c>
      <c r="C24" s="181">
        <f>+'P1.4'!D11</f>
        <v>0</v>
      </c>
      <c r="D24" s="181">
        <f>+'P1.4'!E11</f>
        <v>0</v>
      </c>
      <c r="E24" s="181">
        <f>+'P1.4'!F11</f>
        <v>0</v>
      </c>
      <c r="F24" s="181">
        <f>+'P1.4'!G11</f>
        <v>0</v>
      </c>
      <c r="G24" s="181">
        <f>+'P1.4'!H11</f>
        <v>353336628</v>
      </c>
      <c r="H24" s="181">
        <f>+'P1.4'!I11</f>
        <v>353336628</v>
      </c>
      <c r="I24" s="181">
        <f>+'P1.4'!J11</f>
        <v>0</v>
      </c>
      <c r="J24" s="181">
        <f>+'P1.4'!K11</f>
        <v>0</v>
      </c>
      <c r="K24" s="181">
        <f>+'P1.4'!L11</f>
        <v>0</v>
      </c>
      <c r="L24" s="181">
        <f>+'P1.4'!M11</f>
        <v>353336628</v>
      </c>
      <c r="M24" s="181">
        <f>+'P1.4'!N11</f>
        <v>0</v>
      </c>
      <c r="N24" s="181">
        <f>+'P1.4'!O11</f>
        <v>0</v>
      </c>
      <c r="O24" s="181">
        <f>+'P1.4'!P11</f>
        <v>0</v>
      </c>
      <c r="P24" s="181">
        <f>+'P1.4'!Q11</f>
        <v>353336628</v>
      </c>
      <c r="Q24" s="181">
        <f>+'P1.4'!R11</f>
        <v>0</v>
      </c>
      <c r="R24" s="181">
        <f>+'P1.4'!S11</f>
        <v>0</v>
      </c>
      <c r="S24" s="181">
        <f>+'P1.4'!T11</f>
        <v>0</v>
      </c>
      <c r="T24" s="181">
        <f>+'P1.4'!U11</f>
        <v>353336628</v>
      </c>
      <c r="U24" s="181">
        <f>+'P1.4'!V11</f>
        <v>0</v>
      </c>
      <c r="V24" s="63">
        <f>SUM(C24:U24)</f>
        <v>1766683140</v>
      </c>
    </row>
    <row r="25" spans="2:24" ht="19.5" customHeight="1" x14ac:dyDescent="0.2">
      <c r="B25" s="12" t="s">
        <v>343</v>
      </c>
      <c r="C25" s="181">
        <f>+'P1.4'!D12</f>
        <v>0</v>
      </c>
      <c r="D25" s="181">
        <f>+'P1.4'!E12</f>
        <v>0</v>
      </c>
      <c r="E25" s="181">
        <f>+'P1.4'!F12</f>
        <v>0</v>
      </c>
      <c r="F25" s="181">
        <f>+'P1.4'!G12</f>
        <v>0</v>
      </c>
      <c r="G25" s="181">
        <f>+'P1.4'!H12</f>
        <v>0</v>
      </c>
      <c r="H25" s="181">
        <f>+'P1.4'!I12</f>
        <v>0</v>
      </c>
      <c r="I25" s="181">
        <f>+'P1.4'!J12</f>
        <v>115893765</v>
      </c>
      <c r="J25" s="181">
        <f>+'P1.4'!K12</f>
        <v>115893765</v>
      </c>
      <c r="K25" s="181">
        <f>+'P1.4'!L12</f>
        <v>115893765</v>
      </c>
      <c r="L25" s="181" t="str">
        <f>+'P1.4'!M12</f>
        <v>Presupuesto relativo</v>
      </c>
      <c r="M25" s="181" t="str">
        <f>+'P1.4'!N12</f>
        <v>Presupuesto relativo</v>
      </c>
      <c r="N25" s="181" t="str">
        <f>+'P1.4'!O12</f>
        <v>Presupuesto relativo</v>
      </c>
      <c r="O25" s="181" t="str">
        <f>+'P1.4'!P12</f>
        <v>Presupuesto relativo</v>
      </c>
      <c r="P25" s="181" t="str">
        <f>+'P1.4'!Q12</f>
        <v>Presupuesto relativo</v>
      </c>
      <c r="Q25" s="181" t="str">
        <f>+'P1.4'!R12</f>
        <v>Presupuesto relativo</v>
      </c>
      <c r="R25" s="181" t="str">
        <f>+'P1.4'!S12</f>
        <v>Presupuesto relativo</v>
      </c>
      <c r="S25" s="181" t="str">
        <f>+'P1.4'!T12</f>
        <v>Presupuesto relativo</v>
      </c>
      <c r="T25" s="181" t="str">
        <f>+'P1.4'!U12</f>
        <v>Presupuesto relativo</v>
      </c>
      <c r="U25" s="181" t="str">
        <f>+'P1.4'!V12</f>
        <v>Presupuesto relativo</v>
      </c>
      <c r="V25" s="63">
        <f>SUM(C25:U25)</f>
        <v>347681295</v>
      </c>
    </row>
    <row r="26" spans="2:24" s="88" customFormat="1" ht="16.5" customHeight="1" x14ac:dyDescent="0.2">
      <c r="B26" s="9" t="s">
        <v>7</v>
      </c>
      <c r="C26" s="65">
        <f t="shared" ref="C26:U26" si="6">SUM(C27:C28)</f>
        <v>0</v>
      </c>
      <c r="D26" s="65">
        <f t="shared" si="6"/>
        <v>51505298889.5</v>
      </c>
      <c r="E26" s="65">
        <f t="shared" si="6"/>
        <v>51505298889.5</v>
      </c>
      <c r="F26" s="65">
        <f t="shared" si="6"/>
        <v>51791118309</v>
      </c>
      <c r="G26" s="65">
        <f t="shared" si="6"/>
        <v>51791118309</v>
      </c>
      <c r="H26" s="65">
        <f t="shared" si="6"/>
        <v>51791118309</v>
      </c>
      <c r="I26" s="65">
        <f t="shared" si="6"/>
        <v>51791118309</v>
      </c>
      <c r="J26" s="65">
        <f t="shared" si="6"/>
        <v>51791118309</v>
      </c>
      <c r="K26" s="65">
        <f t="shared" si="6"/>
        <v>51791118309</v>
      </c>
      <c r="L26" s="65">
        <f t="shared" si="6"/>
        <v>51791118309</v>
      </c>
      <c r="M26" s="65">
        <f t="shared" si="6"/>
        <v>51791118309</v>
      </c>
      <c r="N26" s="65">
        <f t="shared" si="6"/>
        <v>51791118309</v>
      </c>
      <c r="O26" s="65">
        <f t="shared" si="6"/>
        <v>51791118309</v>
      </c>
      <c r="P26" s="65">
        <f t="shared" si="6"/>
        <v>51791118309</v>
      </c>
      <c r="Q26" s="65">
        <f t="shared" si="6"/>
        <v>51791118309</v>
      </c>
      <c r="R26" s="65">
        <f t="shared" si="6"/>
        <v>51791118309</v>
      </c>
      <c r="S26" s="65">
        <f t="shared" si="6"/>
        <v>51791118309</v>
      </c>
      <c r="T26" s="65">
        <f t="shared" si="6"/>
        <v>51791118309</v>
      </c>
      <c r="U26" s="65">
        <f t="shared" si="6"/>
        <v>51791118309</v>
      </c>
      <c r="V26" s="65">
        <f>SUM(V27:V28)</f>
        <v>931668490723</v>
      </c>
    </row>
    <row r="27" spans="2:24" ht="51.75" customHeight="1" x14ac:dyDescent="0.2">
      <c r="B27" s="12" t="s">
        <v>346</v>
      </c>
      <c r="C27" s="85">
        <f>+'P1.5'!D8</f>
        <v>0</v>
      </c>
      <c r="D27" s="85">
        <f>+'P1.5'!E8</f>
        <v>51505298889.5</v>
      </c>
      <c r="E27" s="85">
        <f>+'P1.5'!F8</f>
        <v>51505298889.5</v>
      </c>
      <c r="F27" s="85">
        <f>+'P1.5'!G8</f>
        <v>51505298889.5</v>
      </c>
      <c r="G27" s="85">
        <f>+'P1.5'!H8</f>
        <v>51505298889.5</v>
      </c>
      <c r="H27" s="85">
        <f>+'P1.5'!I8</f>
        <v>51505298889.5</v>
      </c>
      <c r="I27" s="85">
        <f>+'P1.5'!J8</f>
        <v>51505298889.5</v>
      </c>
      <c r="J27" s="85">
        <f>+'P1.5'!K8</f>
        <v>51505298889.5</v>
      </c>
      <c r="K27" s="85">
        <f>+'P1.5'!L8</f>
        <v>51505298889.5</v>
      </c>
      <c r="L27" s="85">
        <f>+'P1.5'!M8</f>
        <v>51505298889.5</v>
      </c>
      <c r="M27" s="85">
        <f>+'P1.5'!N8</f>
        <v>51505298889.5</v>
      </c>
      <c r="N27" s="85">
        <f>+'P1.5'!O8</f>
        <v>51505298889.5</v>
      </c>
      <c r="O27" s="85">
        <f>+'P1.5'!P8</f>
        <v>51505298889.5</v>
      </c>
      <c r="P27" s="85">
        <f>+'P1.5'!Q8</f>
        <v>51505298889.5</v>
      </c>
      <c r="Q27" s="85">
        <f>+'P1.5'!R8</f>
        <v>51505298889.5</v>
      </c>
      <c r="R27" s="85">
        <f>+'P1.5'!S8</f>
        <v>51505298889.5</v>
      </c>
      <c r="S27" s="85">
        <f>+'P1.5'!T8</f>
        <v>51505298889.5</v>
      </c>
      <c r="T27" s="85">
        <f>+'P1.5'!U8</f>
        <v>51505298889.5</v>
      </c>
      <c r="U27" s="85">
        <f>+'P1.5'!V8</f>
        <v>51505298889.5</v>
      </c>
      <c r="V27" s="63">
        <f>SUM(C27:U27)</f>
        <v>927095380011</v>
      </c>
    </row>
    <row r="28" spans="2:24" ht="36" x14ac:dyDescent="0.2">
      <c r="B28" s="12" t="s">
        <v>598</v>
      </c>
      <c r="C28" s="85">
        <f>+'P1.5'!D9</f>
        <v>0</v>
      </c>
      <c r="D28" s="85">
        <f>+'P1.5'!E9</f>
        <v>0</v>
      </c>
      <c r="E28" s="85">
        <f>+'P1.5'!F9</f>
        <v>0</v>
      </c>
      <c r="F28" s="85">
        <f>+'P1.5'!G9</f>
        <v>285819419.5</v>
      </c>
      <c r="G28" s="85">
        <f>+'P1.5'!H9</f>
        <v>285819419.5</v>
      </c>
      <c r="H28" s="85">
        <f>+'P1.5'!I9</f>
        <v>285819419.5</v>
      </c>
      <c r="I28" s="85">
        <f>+'P1.5'!J9</f>
        <v>285819419.5</v>
      </c>
      <c r="J28" s="85">
        <f>+'P1.5'!K9</f>
        <v>285819419.5</v>
      </c>
      <c r="K28" s="85">
        <f>+'P1.5'!L9</f>
        <v>285819419.5</v>
      </c>
      <c r="L28" s="85">
        <f>+'P1.5'!M9</f>
        <v>285819419.5</v>
      </c>
      <c r="M28" s="85">
        <f>+'P1.5'!N9</f>
        <v>285819419.5</v>
      </c>
      <c r="N28" s="85">
        <f>+'P1.5'!O9</f>
        <v>285819419.5</v>
      </c>
      <c r="O28" s="85">
        <f>+'P1.5'!P9</f>
        <v>285819419.5</v>
      </c>
      <c r="P28" s="85">
        <f>+'P1.5'!Q9</f>
        <v>285819419.5</v>
      </c>
      <c r="Q28" s="85">
        <f>+'P1.5'!R9</f>
        <v>285819419.5</v>
      </c>
      <c r="R28" s="85">
        <f>+'P1.5'!S9</f>
        <v>285819419.5</v>
      </c>
      <c r="S28" s="85">
        <f>+'P1.5'!T9</f>
        <v>285819419.5</v>
      </c>
      <c r="T28" s="85">
        <f>+'P1.5'!U9</f>
        <v>285819419.5</v>
      </c>
      <c r="U28" s="85">
        <f>+'P1.5'!V9</f>
        <v>285819419.5</v>
      </c>
      <c r="V28" s="63">
        <f>SUM(C28:U28)</f>
        <v>4573110712</v>
      </c>
    </row>
    <row r="29" spans="2:24" s="89" customFormat="1" ht="14.25" customHeight="1" x14ac:dyDescent="0.2">
      <c r="B29" s="8" t="s">
        <v>212</v>
      </c>
      <c r="C29" s="179">
        <f>+C30+C40+C48</f>
        <v>0</v>
      </c>
      <c r="D29" s="179">
        <f t="shared" ref="D29:V29" si="7">+D30+D40+D48</f>
        <v>72298889.5</v>
      </c>
      <c r="E29" s="179">
        <f t="shared" si="7"/>
        <v>61407388749.199997</v>
      </c>
      <c r="F29" s="179">
        <f t="shared" si="7"/>
        <v>1796847593.5</v>
      </c>
      <c r="G29" s="179">
        <f t="shared" si="7"/>
        <v>1391417737.2</v>
      </c>
      <c r="H29" s="179">
        <f t="shared" si="7"/>
        <v>117762842549.5</v>
      </c>
      <c r="I29" s="179">
        <f t="shared" si="7"/>
        <v>57262842549.5</v>
      </c>
      <c r="J29" s="179">
        <f t="shared" si="7"/>
        <v>57762842549.5</v>
      </c>
      <c r="K29" s="179">
        <f t="shared" si="7"/>
        <v>116957412693.2</v>
      </c>
      <c r="L29" s="179">
        <f t="shared" si="7"/>
        <v>57362842549.5</v>
      </c>
      <c r="M29" s="179">
        <f t="shared" si="7"/>
        <v>56862842549.5</v>
      </c>
      <c r="N29" s="179">
        <f t="shared" si="7"/>
        <v>117362842549.5</v>
      </c>
      <c r="O29" s="179">
        <f t="shared" si="7"/>
        <v>56957412693.199997</v>
      </c>
      <c r="P29" s="179">
        <f t="shared" si="7"/>
        <v>56862842549.5</v>
      </c>
      <c r="Q29" s="179">
        <f t="shared" si="7"/>
        <v>117044090923.5</v>
      </c>
      <c r="R29" s="179">
        <f t="shared" si="7"/>
        <v>56862842549.5</v>
      </c>
      <c r="S29" s="179">
        <f t="shared" si="7"/>
        <v>166869033.19999999</v>
      </c>
      <c r="T29" s="179">
        <f t="shared" si="7"/>
        <v>60072298889.5</v>
      </c>
      <c r="U29" s="179">
        <f t="shared" si="7"/>
        <v>72298889.5</v>
      </c>
      <c r="V29" s="179">
        <f t="shared" si="7"/>
        <v>994041076487.5</v>
      </c>
      <c r="W29" s="239">
        <f>SUM(C29:U29)</f>
        <v>994041076487.5</v>
      </c>
      <c r="X29" s="236">
        <f>+V29-W29</f>
        <v>0</v>
      </c>
    </row>
    <row r="30" spans="2:24" s="89" customFormat="1" ht="16.5" customHeight="1" x14ac:dyDescent="0.25">
      <c r="B30" s="9" t="s">
        <v>11</v>
      </c>
      <c r="C30" s="65">
        <f t="shared" ref="C30:U30" si="8">SUM(C31:C39)</f>
        <v>0</v>
      </c>
      <c r="D30" s="65">
        <f t="shared" si="8"/>
        <v>72298889.5</v>
      </c>
      <c r="E30" s="65">
        <f t="shared" si="8"/>
        <v>60315176052</v>
      </c>
      <c r="F30" s="65">
        <f t="shared" si="8"/>
        <v>336846153</v>
      </c>
      <c r="G30" s="65">
        <f t="shared" si="8"/>
        <v>336846153</v>
      </c>
      <c r="H30" s="65">
        <f t="shared" si="8"/>
        <v>63822298889.5</v>
      </c>
      <c r="I30" s="65">
        <f t="shared" si="8"/>
        <v>3822298889.5</v>
      </c>
      <c r="J30" s="65">
        <f t="shared" si="8"/>
        <v>3822298889.5</v>
      </c>
      <c r="K30" s="65">
        <f t="shared" si="8"/>
        <v>63822298889.5</v>
      </c>
      <c r="L30" s="65">
        <f t="shared" si="8"/>
        <v>3822298889.5</v>
      </c>
      <c r="M30" s="65">
        <f t="shared" si="8"/>
        <v>3822298889.5</v>
      </c>
      <c r="N30" s="65">
        <f t="shared" si="8"/>
        <v>63822298889.5</v>
      </c>
      <c r="O30" s="65">
        <f t="shared" si="8"/>
        <v>3822298889.5</v>
      </c>
      <c r="P30" s="65">
        <f t="shared" si="8"/>
        <v>3822298889.5</v>
      </c>
      <c r="Q30" s="65">
        <f t="shared" si="8"/>
        <v>64003547263.5</v>
      </c>
      <c r="R30" s="65">
        <f t="shared" si="8"/>
        <v>3822298889.5</v>
      </c>
      <c r="S30" s="65">
        <f t="shared" si="8"/>
        <v>72298889.5</v>
      </c>
      <c r="T30" s="65">
        <f t="shared" si="8"/>
        <v>60072298889.5</v>
      </c>
      <c r="U30" s="65">
        <f t="shared" si="8"/>
        <v>72298889.5</v>
      </c>
      <c r="V30" s="65">
        <f>SUM(V31:V39)</f>
        <v>403504600074.5</v>
      </c>
    </row>
    <row r="31" spans="2:24" ht="24" x14ac:dyDescent="0.2">
      <c r="B31" s="12" t="s">
        <v>349</v>
      </c>
      <c r="C31" s="85">
        <f>+'P2.1'!D8</f>
        <v>0</v>
      </c>
      <c r="D31" s="85">
        <f>+'P2.1'!E8</f>
        <v>72298889.5</v>
      </c>
      <c r="E31" s="85">
        <f>+'P2.1'!F8</f>
        <v>72298889.5</v>
      </c>
      <c r="F31" s="85">
        <f>+'P2.1'!G8</f>
        <v>72298889.5</v>
      </c>
      <c r="G31" s="85">
        <f>+'P2.1'!H8</f>
        <v>72298889.5</v>
      </c>
      <c r="H31" s="85">
        <f>+'P2.1'!I8</f>
        <v>72298889.5</v>
      </c>
      <c r="I31" s="85">
        <f>+'P2.1'!J8</f>
        <v>72298889.5</v>
      </c>
      <c r="J31" s="85">
        <f>+'P2.1'!K8</f>
        <v>72298889.5</v>
      </c>
      <c r="K31" s="85">
        <f>+'P2.1'!L8</f>
        <v>72298889.5</v>
      </c>
      <c r="L31" s="85">
        <f>+'P2.1'!M8</f>
        <v>72298889.5</v>
      </c>
      <c r="M31" s="85">
        <f>+'P2.1'!N8</f>
        <v>72298889.5</v>
      </c>
      <c r="N31" s="85">
        <f>+'P2.1'!O8</f>
        <v>72298889.5</v>
      </c>
      <c r="O31" s="85">
        <f>+'P2.1'!P8</f>
        <v>72298889.5</v>
      </c>
      <c r="P31" s="85">
        <f>+'P2.1'!Q8</f>
        <v>72298889.5</v>
      </c>
      <c r="Q31" s="85">
        <f>+'P2.1'!R8</f>
        <v>72298889.5</v>
      </c>
      <c r="R31" s="85">
        <f>+'P2.1'!S8</f>
        <v>72298889.5</v>
      </c>
      <c r="S31" s="85">
        <f>+'P2.1'!T8</f>
        <v>72298889.5</v>
      </c>
      <c r="T31" s="85">
        <f>+'P2.1'!U8</f>
        <v>72298889.5</v>
      </c>
      <c r="U31" s="85">
        <f>+'P2.1'!V8</f>
        <v>72298889.5</v>
      </c>
      <c r="V31" s="63">
        <f>SUM(C31:U31)</f>
        <v>1301380011</v>
      </c>
    </row>
    <row r="32" spans="2:24" ht="36" x14ac:dyDescent="0.2">
      <c r="B32" s="12" t="s">
        <v>350</v>
      </c>
      <c r="C32" s="85">
        <f>+'P2.1'!D9</f>
        <v>0</v>
      </c>
      <c r="D32" s="85">
        <f>+'P2.1'!E9</f>
        <v>0</v>
      </c>
      <c r="E32" s="85">
        <f>+'P2.1'!F9</f>
        <v>96279383.5</v>
      </c>
      <c r="F32" s="85" t="str">
        <f>+'P2.1'!G9</f>
        <v>Presupuesto relativo</v>
      </c>
      <c r="G32" s="85" t="str">
        <f>+'P2.1'!H9</f>
        <v>Presupuesto relativo</v>
      </c>
      <c r="H32" s="85" t="str">
        <f>+'P2.1'!I9</f>
        <v>Presupuesto relativo</v>
      </c>
      <c r="I32" s="85" t="str">
        <f>+'P2.1'!J9</f>
        <v>Presupuesto relativo</v>
      </c>
      <c r="J32" s="85" t="str">
        <f>+'P2.1'!K9</f>
        <v>Presupuesto relativo</v>
      </c>
      <c r="K32" s="85" t="str">
        <f>+'P2.1'!L9</f>
        <v>Presupuesto relativo</v>
      </c>
      <c r="L32" s="85" t="str">
        <f>+'P2.1'!M9</f>
        <v>Presupuesto relativo</v>
      </c>
      <c r="M32" s="85" t="str">
        <f>+'P2.1'!N9</f>
        <v>Presupuesto relativo</v>
      </c>
      <c r="N32" s="85" t="str">
        <f>+'P2.1'!O9</f>
        <v>Presupuesto relativo</v>
      </c>
      <c r="O32" s="85" t="str">
        <f>+'P2.1'!P9</f>
        <v>Presupuesto relativo</v>
      </c>
      <c r="P32" s="85" t="str">
        <f>+'P2.1'!Q9</f>
        <v>Presupuesto relativo</v>
      </c>
      <c r="Q32" s="85" t="str">
        <f>+'P2.1'!R9</f>
        <v>Presupuesto relativo</v>
      </c>
      <c r="R32" s="85" t="str">
        <f>+'P2.1'!S9</f>
        <v>Presupuesto relativo</v>
      </c>
      <c r="S32" s="85" t="str">
        <f>+'P2.1'!T9</f>
        <v>Presupuesto relativo</v>
      </c>
      <c r="T32" s="85" t="str">
        <f>+'P2.1'!U9</f>
        <v>Presupuesto relativo</v>
      </c>
      <c r="U32" s="85" t="str">
        <f>+'P2.1'!V9</f>
        <v>Presupuesto relativo</v>
      </c>
      <c r="V32" s="63">
        <f t="shared" ref="V32:V39" si="9">SUM(C32:U32)</f>
        <v>96279383.5</v>
      </c>
    </row>
    <row r="33" spans="2:22" ht="36" x14ac:dyDescent="0.2">
      <c r="B33" s="12" t="s">
        <v>351</v>
      </c>
      <c r="C33" s="85">
        <f>+'P2.1'!D10</f>
        <v>0</v>
      </c>
      <c r="D33" s="85">
        <f>+'P2.1'!E10</f>
        <v>0</v>
      </c>
      <c r="E33" s="85">
        <f>+'P2.1'!F10</f>
        <v>0</v>
      </c>
      <c r="F33" s="85">
        <f>+'P2.1'!G10</f>
        <v>97666108</v>
      </c>
      <c r="G33" s="85">
        <f>+'P2.1'!H10</f>
        <v>97666108</v>
      </c>
      <c r="H33" s="85">
        <f>+'P2.1'!I10</f>
        <v>0</v>
      </c>
      <c r="I33" s="85">
        <f>+'P2.1'!J10</f>
        <v>0</v>
      </c>
      <c r="J33" s="85">
        <f>+'P2.1'!K10</f>
        <v>0</v>
      </c>
      <c r="K33" s="85">
        <f>+'P2.1'!L10</f>
        <v>0</v>
      </c>
      <c r="L33" s="85">
        <f>+'P2.1'!M10</f>
        <v>0</v>
      </c>
      <c r="M33" s="85">
        <f>+'P2.1'!N10</f>
        <v>0</v>
      </c>
      <c r="N33" s="85">
        <f>+'P2.1'!O10</f>
        <v>0</v>
      </c>
      <c r="O33" s="85">
        <f>+'P2.1'!P10</f>
        <v>0</v>
      </c>
      <c r="P33" s="85">
        <f>+'P2.1'!Q10</f>
        <v>0</v>
      </c>
      <c r="Q33" s="85">
        <f>+'P2.1'!R10</f>
        <v>97666108</v>
      </c>
      <c r="R33" s="85">
        <f>+'P2.1'!S10</f>
        <v>0</v>
      </c>
      <c r="S33" s="85">
        <f>+'P2.1'!T10</f>
        <v>0</v>
      </c>
      <c r="T33" s="85">
        <f>+'P2.1'!U10</f>
        <v>0</v>
      </c>
      <c r="U33" s="85">
        <f>+'P2.1'!V10</f>
        <v>0</v>
      </c>
      <c r="V33" s="63">
        <f t="shared" si="9"/>
        <v>292998324</v>
      </c>
    </row>
    <row r="34" spans="2:22" ht="24" x14ac:dyDescent="0.2">
      <c r="B34" s="12" t="s">
        <v>352</v>
      </c>
      <c r="C34" s="85">
        <f>+'P2.1'!D11</f>
        <v>0</v>
      </c>
      <c r="D34" s="85">
        <f>+'P2.1'!E11</f>
        <v>0</v>
      </c>
      <c r="E34" s="85">
        <f>+'P2.1'!F11</f>
        <v>0</v>
      </c>
      <c r="F34" s="85">
        <f>+'P2.1'!G11</f>
        <v>83582266</v>
      </c>
      <c r="G34" s="85">
        <f>+'P2.1'!H11</f>
        <v>83582266</v>
      </c>
      <c r="H34" s="85">
        <f>+'P2.1'!I11</f>
        <v>0</v>
      </c>
      <c r="I34" s="85">
        <f>+'P2.1'!J11</f>
        <v>0</v>
      </c>
      <c r="J34" s="85">
        <f>+'P2.1'!K11</f>
        <v>0</v>
      </c>
      <c r="K34" s="85">
        <f>+'P2.1'!L11</f>
        <v>0</v>
      </c>
      <c r="L34" s="85">
        <f>+'P2.1'!M11</f>
        <v>0</v>
      </c>
      <c r="M34" s="85">
        <f>+'P2.1'!N11</f>
        <v>0</v>
      </c>
      <c r="N34" s="85">
        <f>+'P2.1'!O11</f>
        <v>0</v>
      </c>
      <c r="O34" s="85">
        <f>+'P2.1'!P11</f>
        <v>0</v>
      </c>
      <c r="P34" s="85">
        <f>+'P2.1'!Q11</f>
        <v>0</v>
      </c>
      <c r="Q34" s="85">
        <f>+'P2.1'!R11</f>
        <v>83582266</v>
      </c>
      <c r="R34" s="85">
        <f>+'P2.1'!S11</f>
        <v>0</v>
      </c>
      <c r="S34" s="85">
        <f>+'P2.1'!T11</f>
        <v>0</v>
      </c>
      <c r="T34" s="85">
        <f>+'P2.1'!U11</f>
        <v>0</v>
      </c>
      <c r="U34" s="85">
        <f>+'P2.1'!V11</f>
        <v>0</v>
      </c>
      <c r="V34" s="63">
        <f t="shared" si="9"/>
        <v>250746798</v>
      </c>
    </row>
    <row r="35" spans="2:22" ht="29.25" customHeight="1" x14ac:dyDescent="0.2">
      <c r="B35" s="12" t="s">
        <v>353</v>
      </c>
      <c r="C35" s="85">
        <f>+'P2.1'!D12</f>
        <v>0</v>
      </c>
      <c r="D35" s="85">
        <f>+'P2.1'!E12</f>
        <v>0</v>
      </c>
      <c r="E35" s="85">
        <f>+'P2.1'!F12</f>
        <v>0</v>
      </c>
      <c r="F35" s="85">
        <f>+'P2.1'!G12</f>
        <v>0</v>
      </c>
      <c r="G35" s="85">
        <f>+'P2.1'!H12</f>
        <v>0</v>
      </c>
      <c r="H35" s="85">
        <f>+'P2.1'!I12</f>
        <v>3750000000</v>
      </c>
      <c r="I35" s="85">
        <f>+'P2.1'!J12</f>
        <v>3750000000</v>
      </c>
      <c r="J35" s="85">
        <f>+'P2.1'!K12</f>
        <v>3750000000</v>
      </c>
      <c r="K35" s="85">
        <f>+'P2.1'!L12</f>
        <v>3750000000</v>
      </c>
      <c r="L35" s="85">
        <f>+'P2.1'!M12</f>
        <v>3750000000</v>
      </c>
      <c r="M35" s="85">
        <f>+'P2.1'!N12</f>
        <v>3750000000</v>
      </c>
      <c r="N35" s="85">
        <f>+'P2.1'!O12</f>
        <v>3750000000</v>
      </c>
      <c r="O35" s="85">
        <f>+'P2.1'!P12</f>
        <v>3750000000</v>
      </c>
      <c r="P35" s="85">
        <f>+'P2.1'!Q12</f>
        <v>3750000000</v>
      </c>
      <c r="Q35" s="85">
        <f>+'P2.1'!R12</f>
        <v>3750000000</v>
      </c>
      <c r="R35" s="85">
        <f>+'P2.1'!S12</f>
        <v>3750000000</v>
      </c>
      <c r="S35" s="85">
        <f>+'P2.1'!T12</f>
        <v>0</v>
      </c>
      <c r="T35" s="85">
        <f>+'P2.1'!U12</f>
        <v>0</v>
      </c>
      <c r="U35" s="85">
        <f>+'P2.1'!V12</f>
        <v>0</v>
      </c>
      <c r="V35" s="63">
        <f t="shared" si="9"/>
        <v>41250000000</v>
      </c>
    </row>
    <row r="36" spans="2:22" ht="39.75" customHeight="1" x14ac:dyDescent="0.2">
      <c r="B36" s="12" t="s">
        <v>354</v>
      </c>
      <c r="C36" s="85">
        <f>+'P2.1'!D13</f>
        <v>0</v>
      </c>
      <c r="D36" s="85">
        <f>+'P2.1'!E13</f>
        <v>0</v>
      </c>
      <c r="E36" s="85">
        <f>+'P2.1'!F13</f>
        <v>63298889.5</v>
      </c>
      <c r="F36" s="85">
        <f>+'P2.1'!G13</f>
        <v>63298889.5</v>
      </c>
      <c r="G36" s="85">
        <f>+'P2.1'!H13</f>
        <v>63298889.5</v>
      </c>
      <c r="H36" s="85" t="str">
        <f>+'P2.1'!I13</f>
        <v>Presupuesto relativo</v>
      </c>
      <c r="I36" s="85" t="str">
        <f>+'P2.1'!J13</f>
        <v>Presupuesto relativo</v>
      </c>
      <c r="J36" s="85" t="str">
        <f>+'P2.1'!K13</f>
        <v>Presupuesto relativo</v>
      </c>
      <c r="K36" s="85" t="str">
        <f>+'P2.1'!L13</f>
        <v>Presupuesto relativo</v>
      </c>
      <c r="L36" s="85" t="str">
        <f>+'P2.1'!M13</f>
        <v>Presupuesto relativo</v>
      </c>
      <c r="M36" s="85" t="str">
        <f>+'P2.1'!N13</f>
        <v>Presupuesto relativo</v>
      </c>
      <c r="N36" s="85" t="str">
        <f>+'P2.1'!O13</f>
        <v>Presupuesto relativo</v>
      </c>
      <c r="O36" s="85" t="str">
        <f>+'P2.1'!P13</f>
        <v>Presupuesto relativo</v>
      </c>
      <c r="P36" s="85" t="str">
        <f>+'P2.1'!Q13</f>
        <v>Presupuesto relativo</v>
      </c>
      <c r="Q36" s="85" t="str">
        <f>+'P2.1'!R13</f>
        <v>Presupuesto relativo</v>
      </c>
      <c r="R36" s="85" t="str">
        <f>+'P2.1'!S13</f>
        <v>Presupuesto relativo</v>
      </c>
      <c r="S36" s="85" t="str">
        <f>+'P2.1'!T13</f>
        <v>Presupuesto relativo</v>
      </c>
      <c r="T36" s="85" t="str">
        <f>+'P2.1'!U13</f>
        <v>Presupuesto relativo</v>
      </c>
      <c r="U36" s="85" t="str">
        <f>+'P2.1'!V13</f>
        <v>Presupuesto relativo</v>
      </c>
      <c r="V36" s="63">
        <f t="shared" si="9"/>
        <v>189896668.5</v>
      </c>
    </row>
    <row r="37" spans="2:22" ht="28.5" customHeight="1" x14ac:dyDescent="0.2">
      <c r="B37" s="12" t="s">
        <v>355</v>
      </c>
      <c r="C37" s="85">
        <f>+'P2.1'!D14</f>
        <v>0</v>
      </c>
      <c r="D37" s="85">
        <f>+'P2.1'!E14</f>
        <v>0</v>
      </c>
      <c r="E37" s="85">
        <f>+'P2.1'!F14</f>
        <v>20000000</v>
      </c>
      <c r="F37" s="85">
        <f>+'P2.1'!G14</f>
        <v>20000000</v>
      </c>
      <c r="G37" s="85">
        <f>+'P2.1'!H14</f>
        <v>20000000</v>
      </c>
      <c r="H37" s="85" t="str">
        <f>+'P2.1'!I14</f>
        <v>Presupuesto relativo</v>
      </c>
      <c r="I37" s="85" t="str">
        <f>+'P2.1'!J14</f>
        <v>Presupuesto relativo</v>
      </c>
      <c r="J37" s="85" t="str">
        <f>+'P2.1'!K14</f>
        <v>Presupuesto relativo</v>
      </c>
      <c r="K37" s="85" t="str">
        <f>+'P2.1'!L14</f>
        <v>Presupuesto relativo</v>
      </c>
      <c r="L37" s="85" t="str">
        <f>+'P2.1'!M14</f>
        <v>Presupuesto relativo</v>
      </c>
      <c r="M37" s="85" t="str">
        <f>+'P2.1'!N14</f>
        <v>Presupuesto relativo</v>
      </c>
      <c r="N37" s="85" t="str">
        <f>+'P2.1'!O14</f>
        <v>Presupuesto relativo</v>
      </c>
      <c r="O37" s="85" t="str">
        <f>+'P2.1'!P14</f>
        <v>Presupuesto relativo</v>
      </c>
      <c r="P37" s="85" t="str">
        <f>+'P2.1'!Q14</f>
        <v>Presupuesto relativo</v>
      </c>
      <c r="Q37" s="85" t="str">
        <f>+'P2.1'!R14</f>
        <v>Presupuesto relativo</v>
      </c>
      <c r="R37" s="85" t="str">
        <f>+'P2.1'!S14</f>
        <v>Presupuesto relativo</v>
      </c>
      <c r="S37" s="85" t="str">
        <f>+'P2.1'!T14</f>
        <v>Presupuesto relativo</v>
      </c>
      <c r="T37" s="85" t="str">
        <f>+'P2.1'!U14</f>
        <v>Presupuesto relativo</v>
      </c>
      <c r="U37" s="85" t="str">
        <f>+'P2.1'!V14</f>
        <v>Presupuesto relativo</v>
      </c>
      <c r="V37" s="63">
        <f t="shared" si="9"/>
        <v>60000000</v>
      </c>
    </row>
    <row r="38" spans="2:22" ht="39.75" customHeight="1" x14ac:dyDescent="0.2">
      <c r="B38" s="12" t="s">
        <v>356</v>
      </c>
      <c r="C38" s="85">
        <f>+'P2.1'!D15</f>
        <v>0</v>
      </c>
      <c r="D38" s="85">
        <f>+'P2.1'!E15</f>
        <v>0</v>
      </c>
      <c r="E38" s="85">
        <f>+'P2.1'!F15</f>
        <v>63298889.5</v>
      </c>
      <c r="F38" s="85" t="str">
        <f>+'P2.1'!G15</f>
        <v>Presupuesto relativo</v>
      </c>
      <c r="G38" s="85" t="str">
        <f>+'P2.1'!H15</f>
        <v>Presupuesto relativo</v>
      </c>
      <c r="H38" s="85" t="str">
        <f>+'P2.1'!I15</f>
        <v>Presupuesto relativo</v>
      </c>
      <c r="I38" s="85" t="str">
        <f>+'P2.1'!J15</f>
        <v>Presupuesto relativo</v>
      </c>
      <c r="J38" s="85">
        <f>+'P2.1'!K15</f>
        <v>0</v>
      </c>
      <c r="K38" s="85">
        <f>+'P2.1'!L15</f>
        <v>0</v>
      </c>
      <c r="L38" s="85">
        <f>+'P2.1'!M15</f>
        <v>0</v>
      </c>
      <c r="M38" s="85">
        <f>+'P2.1'!N15</f>
        <v>0</v>
      </c>
      <c r="N38" s="85">
        <f>+'P2.1'!O15</f>
        <v>0</v>
      </c>
      <c r="O38" s="85">
        <f>+'P2.1'!P15</f>
        <v>0</v>
      </c>
      <c r="P38" s="85">
        <f>+'P2.1'!Q15</f>
        <v>0</v>
      </c>
      <c r="Q38" s="85">
        <f>+'P2.1'!R15</f>
        <v>0</v>
      </c>
      <c r="R38" s="85">
        <f>+'P2.1'!S15</f>
        <v>0</v>
      </c>
      <c r="S38" s="85">
        <f>+'P2.1'!T15</f>
        <v>0</v>
      </c>
      <c r="T38" s="85">
        <f>+'P2.1'!U15</f>
        <v>0</v>
      </c>
      <c r="U38" s="85">
        <f>+'P2.1'!V15</f>
        <v>0</v>
      </c>
      <c r="V38" s="63">
        <f t="shared" si="9"/>
        <v>63298889.5</v>
      </c>
    </row>
    <row r="39" spans="2:22" ht="24" x14ac:dyDescent="0.2">
      <c r="B39" s="12" t="s">
        <v>357</v>
      </c>
      <c r="C39" s="85">
        <f>+'P2.1'!D16</f>
        <v>0</v>
      </c>
      <c r="D39" s="85">
        <f>+'P2.1'!E16</f>
        <v>0</v>
      </c>
      <c r="E39" s="85">
        <f>+'P2.1'!F16</f>
        <v>60000000000</v>
      </c>
      <c r="F39" s="85" t="str">
        <f>+'P2.1'!G16</f>
        <v>Presupuesto relativo</v>
      </c>
      <c r="G39" s="85" t="str">
        <f>+'P2.1'!H16</f>
        <v>Presupuesto relativo</v>
      </c>
      <c r="H39" s="85">
        <f>+'P2.1'!I16</f>
        <v>60000000000</v>
      </c>
      <c r="I39" s="85" t="str">
        <f>+'P2.1'!J16</f>
        <v>Presupuesto relativo</v>
      </c>
      <c r="J39" s="85" t="str">
        <f>+'P2.1'!K16</f>
        <v>Presupuesto relativo</v>
      </c>
      <c r="K39" s="85">
        <f>+'P2.1'!L16</f>
        <v>60000000000</v>
      </c>
      <c r="L39" s="85" t="str">
        <f>+'P2.1'!M16</f>
        <v>Presupuesto relativo</v>
      </c>
      <c r="M39" s="85" t="str">
        <f>+'P2.1'!N16</f>
        <v>Presupuesto relativo</v>
      </c>
      <c r="N39" s="85">
        <f>+'P2.1'!O16</f>
        <v>60000000000</v>
      </c>
      <c r="O39" s="85" t="str">
        <f>+'P2.1'!P16</f>
        <v>Presupuesto relativo</v>
      </c>
      <c r="P39" s="85" t="str">
        <f>+'P2.1'!Q16</f>
        <v>Presupuesto relativo</v>
      </c>
      <c r="Q39" s="85">
        <f>+'P2.1'!R16</f>
        <v>60000000000</v>
      </c>
      <c r="R39" s="85" t="str">
        <f>+'P2.1'!S16</f>
        <v>Presupuesto relativo</v>
      </c>
      <c r="S39" s="85" t="str">
        <f>+'P2.1'!T16</f>
        <v>Presupuesto relativo</v>
      </c>
      <c r="T39" s="85">
        <f>+'P2.1'!U16</f>
        <v>60000000000</v>
      </c>
      <c r="U39" s="85" t="str">
        <f>+'P2.1'!V16</f>
        <v>Presupuesto relativo</v>
      </c>
      <c r="V39" s="63">
        <f t="shared" si="9"/>
        <v>360000000000</v>
      </c>
    </row>
    <row r="40" spans="2:22" s="89" customFormat="1" ht="24" x14ac:dyDescent="0.25">
      <c r="B40" s="9" t="s">
        <v>12</v>
      </c>
      <c r="C40" s="65">
        <f t="shared" ref="C40:U40" si="10">SUM(C41:C47)</f>
        <v>0</v>
      </c>
      <c r="D40" s="65">
        <f t="shared" si="10"/>
        <v>0</v>
      </c>
      <c r="E40" s="65">
        <f t="shared" si="10"/>
        <v>270571947.69999999</v>
      </c>
      <c r="F40" s="65">
        <f t="shared" si="10"/>
        <v>548360691</v>
      </c>
      <c r="G40" s="65">
        <f t="shared" si="10"/>
        <v>642930834.70000005</v>
      </c>
      <c r="H40" s="65">
        <f t="shared" si="10"/>
        <v>53350543660</v>
      </c>
      <c r="I40" s="65">
        <f t="shared" si="10"/>
        <v>53350543660</v>
      </c>
      <c r="J40" s="65">
        <f t="shared" si="10"/>
        <v>53350543660</v>
      </c>
      <c r="K40" s="65">
        <f t="shared" si="10"/>
        <v>53135113803.699997</v>
      </c>
      <c r="L40" s="65">
        <f t="shared" si="10"/>
        <v>53040543660</v>
      </c>
      <c r="M40" s="65">
        <f t="shared" si="10"/>
        <v>53040543660</v>
      </c>
      <c r="N40" s="65">
        <f t="shared" si="10"/>
        <v>53040543660</v>
      </c>
      <c r="O40" s="65">
        <f t="shared" si="10"/>
        <v>53135113803.699997</v>
      </c>
      <c r="P40" s="65">
        <f t="shared" si="10"/>
        <v>53040543660</v>
      </c>
      <c r="Q40" s="65">
        <f t="shared" si="10"/>
        <v>53040543660</v>
      </c>
      <c r="R40" s="65">
        <f t="shared" si="10"/>
        <v>53040543660</v>
      </c>
      <c r="S40" s="65">
        <f t="shared" si="10"/>
        <v>94570143.699999988</v>
      </c>
      <c r="T40" s="65">
        <f t="shared" si="10"/>
        <v>0</v>
      </c>
      <c r="U40" s="65">
        <f t="shared" si="10"/>
        <v>0</v>
      </c>
      <c r="V40" s="65">
        <f>SUM(V41:V47)</f>
        <v>586121554164.5</v>
      </c>
    </row>
    <row r="41" spans="2:22" ht="38.25" customHeight="1" x14ac:dyDescent="0.2">
      <c r="B41" s="12" t="s">
        <v>367</v>
      </c>
      <c r="C41" s="85">
        <f>+'P2.2'!D8</f>
        <v>0</v>
      </c>
      <c r="D41" s="85">
        <f>+'P2.2'!E8</f>
        <v>0</v>
      </c>
      <c r="E41" s="85">
        <f>+'P2.2'!F8</f>
        <v>0</v>
      </c>
      <c r="F41" s="85">
        <f>+'P2.2'!G8</f>
        <v>231330359.5</v>
      </c>
      <c r="G41" s="85">
        <f>+'P2.2'!H8</f>
        <v>231330359.5</v>
      </c>
      <c r="H41" s="85">
        <f>+'P2.2'!I8</f>
        <v>0</v>
      </c>
      <c r="I41" s="85">
        <f>+'P2.2'!J8</f>
        <v>0</v>
      </c>
      <c r="J41" s="85">
        <f>+'P2.2'!K8</f>
        <v>0</v>
      </c>
      <c r="K41" s="85">
        <f>+'P2.2'!L8</f>
        <v>0</v>
      </c>
      <c r="L41" s="85">
        <f>+'P2.2'!M8</f>
        <v>0</v>
      </c>
      <c r="M41" s="85">
        <f>+'P2.2'!N8</f>
        <v>0</v>
      </c>
      <c r="N41" s="85">
        <f>+'P2.2'!O8</f>
        <v>0</v>
      </c>
      <c r="O41" s="85">
        <f>+'P2.2'!P8</f>
        <v>0</v>
      </c>
      <c r="P41" s="85">
        <f>+'P2.2'!Q8</f>
        <v>0</v>
      </c>
      <c r="Q41" s="85">
        <f>+'P2.2'!R8</f>
        <v>0</v>
      </c>
      <c r="R41" s="85">
        <f>+'P2.2'!S8</f>
        <v>0</v>
      </c>
      <c r="S41" s="85">
        <f>+'P2.2'!T8</f>
        <v>0</v>
      </c>
      <c r="T41" s="85">
        <f>+'P2.2'!U8</f>
        <v>0</v>
      </c>
      <c r="U41" s="85">
        <f>+'P2.2'!V8</f>
        <v>0</v>
      </c>
      <c r="V41" s="63">
        <f>SUM(C41:U41)</f>
        <v>462660719</v>
      </c>
    </row>
    <row r="42" spans="2:22" ht="25.5" customHeight="1" x14ac:dyDescent="0.2">
      <c r="B42" s="12" t="s">
        <v>368</v>
      </c>
      <c r="C42" s="85">
        <f>+'P2.2'!D9</f>
        <v>0</v>
      </c>
      <c r="D42" s="85">
        <f>+'P2.2'!E9</f>
        <v>0</v>
      </c>
      <c r="E42" s="85">
        <f>+'P2.2'!F9</f>
        <v>0</v>
      </c>
      <c r="F42" s="85">
        <f>+'P2.2'!G9</f>
        <v>157030331.5</v>
      </c>
      <c r="G42" s="85">
        <f>+'P2.2'!H9</f>
        <v>157030331.5</v>
      </c>
      <c r="H42" s="85" t="str">
        <f>+'P2.2'!I9</f>
        <v>Presupuesto relativo</v>
      </c>
      <c r="I42" s="85" t="str">
        <f>+'P2.2'!J9</f>
        <v>Presupuesto relativo</v>
      </c>
      <c r="J42" s="85" t="str">
        <f>+'P2.2'!K9</f>
        <v>Presupuesto relativo</v>
      </c>
      <c r="K42" s="85" t="str">
        <f>+'P2.2'!L9</f>
        <v>Presupuesto relativo</v>
      </c>
      <c r="L42" s="85" t="str">
        <f>+'P2.2'!M9</f>
        <v>Presupuesto relativo</v>
      </c>
      <c r="M42" s="85" t="str">
        <f>+'P2.2'!N9</f>
        <v>Presupuesto relativo</v>
      </c>
      <c r="N42" s="85" t="str">
        <f>+'P2.2'!O9</f>
        <v>Presupuesto relativo</v>
      </c>
      <c r="O42" s="85" t="str">
        <f>+'P2.2'!P9</f>
        <v>Presupuesto relativo</v>
      </c>
      <c r="P42" s="85" t="str">
        <f>+'P2.2'!Q9</f>
        <v>Presupuesto relativo</v>
      </c>
      <c r="Q42" s="85" t="str">
        <f>+'P2.2'!R9</f>
        <v>Presupuesto relativo</v>
      </c>
      <c r="R42" s="85" t="str">
        <f>+'P2.2'!S9</f>
        <v>Presupuesto relativo</v>
      </c>
      <c r="S42" s="85">
        <f>+'P2.2'!T9</f>
        <v>0</v>
      </c>
      <c r="T42" s="85">
        <f>+'P2.2'!U9</f>
        <v>0</v>
      </c>
      <c r="U42" s="85">
        <f>+'P2.2'!V9</f>
        <v>0</v>
      </c>
      <c r="V42" s="63">
        <f t="shared" ref="V42:V53" si="11">SUM(C42:U42)</f>
        <v>314060663</v>
      </c>
    </row>
    <row r="43" spans="2:22" ht="24" x14ac:dyDescent="0.2">
      <c r="B43" s="12" t="s">
        <v>369</v>
      </c>
      <c r="C43" s="85">
        <f>+'P2.2'!D10</f>
        <v>0</v>
      </c>
      <c r="D43" s="85">
        <f>+'P2.2'!E10</f>
        <v>0</v>
      </c>
      <c r="E43" s="85">
        <f>+'P2.2'!F10</f>
        <v>0</v>
      </c>
      <c r="F43" s="85">
        <f>+'P2.2'!G10</f>
        <v>0</v>
      </c>
      <c r="G43" s="85">
        <f>+'P2.2'!H10</f>
        <v>0</v>
      </c>
      <c r="H43" s="85">
        <f>+'P2.2'!I10</f>
        <v>53040543660</v>
      </c>
      <c r="I43" s="85">
        <f>+'P2.2'!J10</f>
        <v>53040543660</v>
      </c>
      <c r="J43" s="85">
        <f>+'P2.2'!K10</f>
        <v>53040543660</v>
      </c>
      <c r="K43" s="85">
        <f>+'P2.2'!L10</f>
        <v>53040543660</v>
      </c>
      <c r="L43" s="85">
        <f>+'P2.2'!M10</f>
        <v>53040543660</v>
      </c>
      <c r="M43" s="85">
        <f>+'P2.2'!N10</f>
        <v>53040543660</v>
      </c>
      <c r="N43" s="85">
        <f>+'P2.2'!O10</f>
        <v>53040543660</v>
      </c>
      <c r="O43" s="85">
        <f>+'P2.2'!P10</f>
        <v>53040543660</v>
      </c>
      <c r="P43" s="85">
        <f>+'P2.2'!Q10</f>
        <v>53040543660</v>
      </c>
      <c r="Q43" s="85">
        <f>+'P2.2'!R10</f>
        <v>53040543660</v>
      </c>
      <c r="R43" s="85">
        <f>+'P2.2'!S10</f>
        <v>53040543660</v>
      </c>
      <c r="S43" s="85">
        <f>+'P2.2'!T10</f>
        <v>0</v>
      </c>
      <c r="T43" s="85">
        <f>+'P2.2'!U10</f>
        <v>0</v>
      </c>
      <c r="U43" s="85">
        <f>+'P2.2'!V10</f>
        <v>0</v>
      </c>
      <c r="V43" s="63">
        <f t="shared" si="11"/>
        <v>583445980260</v>
      </c>
    </row>
    <row r="44" spans="2:22" ht="29.25" customHeight="1" x14ac:dyDescent="0.2">
      <c r="B44" s="12" t="s">
        <v>370</v>
      </c>
      <c r="C44" s="85">
        <f>+'P2.2'!D11</f>
        <v>0</v>
      </c>
      <c r="D44" s="85">
        <f>+'P2.2'!E11</f>
        <v>0</v>
      </c>
      <c r="E44" s="85">
        <f>+'P2.2'!F11</f>
        <v>0</v>
      </c>
      <c r="F44" s="85">
        <f>+'P2.2'!G11</f>
        <v>0</v>
      </c>
      <c r="G44" s="85">
        <f>+'P2.2'!H11</f>
        <v>0</v>
      </c>
      <c r="H44" s="85">
        <f>+'P2.2'!I11</f>
        <v>150000000</v>
      </c>
      <c r="I44" s="85">
        <f>+'P2.2'!J11</f>
        <v>150000000</v>
      </c>
      <c r="J44" s="85">
        <f>+'P2.2'!K11</f>
        <v>150000000</v>
      </c>
      <c r="K44" s="85">
        <f>+'P2.2'!L11</f>
        <v>0</v>
      </c>
      <c r="L44" s="85">
        <f>+'P2.2'!M11</f>
        <v>0</v>
      </c>
      <c r="M44" s="85">
        <f>+'P2.2'!N11</f>
        <v>0</v>
      </c>
      <c r="N44" s="85">
        <f>+'P2.2'!O11</f>
        <v>0</v>
      </c>
      <c r="O44" s="85">
        <f>+'P2.2'!P11</f>
        <v>0</v>
      </c>
      <c r="P44" s="85">
        <f>+'P2.2'!Q11</f>
        <v>0</v>
      </c>
      <c r="Q44" s="85">
        <f>+'P2.2'!R11</f>
        <v>0</v>
      </c>
      <c r="R44" s="85">
        <f>+'P2.2'!S11</f>
        <v>0</v>
      </c>
      <c r="S44" s="85">
        <f>+'P2.2'!T11</f>
        <v>0</v>
      </c>
      <c r="T44" s="85">
        <f>+'P2.2'!U11</f>
        <v>0</v>
      </c>
      <c r="U44" s="85">
        <f>+'P2.2'!V11</f>
        <v>0</v>
      </c>
      <c r="V44" s="63">
        <f t="shared" si="11"/>
        <v>450000000</v>
      </c>
    </row>
    <row r="45" spans="2:22" ht="40.5" customHeight="1" x14ac:dyDescent="0.2">
      <c r="B45" s="12" t="s">
        <v>371</v>
      </c>
      <c r="C45" s="85">
        <f>+'P2.2'!D12</f>
        <v>0</v>
      </c>
      <c r="D45" s="85">
        <f>+'P2.2'!E12</f>
        <v>0</v>
      </c>
      <c r="E45" s="85">
        <f>+'P2.2'!F12</f>
        <v>94570143.699999988</v>
      </c>
      <c r="F45" s="85">
        <f>+'P2.2'!G12</f>
        <v>0</v>
      </c>
      <c r="G45" s="85">
        <f>+'P2.2'!H12</f>
        <v>94570143.699999988</v>
      </c>
      <c r="H45" s="85">
        <f>+'P2.2'!I12</f>
        <v>0</v>
      </c>
      <c r="I45" s="85">
        <f>+'P2.2'!J12</f>
        <v>0</v>
      </c>
      <c r="J45" s="85">
        <f>+'P2.2'!K12</f>
        <v>0</v>
      </c>
      <c r="K45" s="85">
        <f>+'P2.2'!L12</f>
        <v>94570143.699999988</v>
      </c>
      <c r="L45" s="85">
        <f>+'P2.2'!M12</f>
        <v>0</v>
      </c>
      <c r="M45" s="85">
        <f>+'P2.2'!N12</f>
        <v>0</v>
      </c>
      <c r="N45" s="85">
        <f>+'P2.2'!O12</f>
        <v>0</v>
      </c>
      <c r="O45" s="85">
        <f>+'P2.2'!P12</f>
        <v>94570143.699999988</v>
      </c>
      <c r="P45" s="85">
        <f>+'P2.2'!Q12</f>
        <v>0</v>
      </c>
      <c r="Q45" s="85">
        <f>+'P2.2'!R12</f>
        <v>0</v>
      </c>
      <c r="R45" s="85">
        <f>+'P2.2'!S12</f>
        <v>0</v>
      </c>
      <c r="S45" s="85">
        <f>+'P2.2'!T12</f>
        <v>94570143.699999988</v>
      </c>
      <c r="T45" s="85">
        <f>+'P2.2'!U12</f>
        <v>0</v>
      </c>
      <c r="U45" s="85">
        <f>+'P2.2'!V12</f>
        <v>0</v>
      </c>
      <c r="V45" s="63">
        <f t="shared" si="11"/>
        <v>472850718.49999994</v>
      </c>
    </row>
    <row r="46" spans="2:22" ht="25.5" customHeight="1" x14ac:dyDescent="0.2">
      <c r="B46" s="12" t="s">
        <v>372</v>
      </c>
      <c r="C46" s="85">
        <f>+'P2.2'!D13</f>
        <v>0</v>
      </c>
      <c r="D46" s="85">
        <f>+'P2.2'!E13</f>
        <v>0</v>
      </c>
      <c r="E46" s="85">
        <f>+'P2.2'!F13</f>
        <v>176001804</v>
      </c>
      <c r="F46" s="85" t="str">
        <f>+'P2.2'!G13</f>
        <v>Presupuesto relativo</v>
      </c>
      <c r="G46" s="85" t="str">
        <f>+'P2.2'!H13</f>
        <v>Presupuesto relativo</v>
      </c>
      <c r="H46" s="85" t="str">
        <f>+'P2.2'!I13</f>
        <v>Presupuesto relativo</v>
      </c>
      <c r="I46" s="85" t="str">
        <f>+'P2.2'!J13</f>
        <v>Presupuesto relativo</v>
      </c>
      <c r="J46" s="85" t="str">
        <f>+'P2.2'!K13</f>
        <v>Presupuesto relativo</v>
      </c>
      <c r="K46" s="85" t="str">
        <f>+'P2.2'!L13</f>
        <v>Presupuesto relativo</v>
      </c>
      <c r="L46" s="85" t="str">
        <f>+'P2.2'!M13</f>
        <v>Presupuesto relativo</v>
      </c>
      <c r="M46" s="85" t="str">
        <f>+'P2.2'!N13</f>
        <v>Presupuesto relativo</v>
      </c>
      <c r="N46" s="85" t="str">
        <f>+'P2.2'!O13</f>
        <v>Presupuesto relativo</v>
      </c>
      <c r="O46" s="85" t="str">
        <f>+'P2.2'!P13</f>
        <v>Presupuesto relativo</v>
      </c>
      <c r="P46" s="85" t="str">
        <f>+'P2.2'!Q13</f>
        <v>Presupuesto relativo</v>
      </c>
      <c r="Q46" s="85" t="str">
        <f>+'P2.2'!R13</f>
        <v>Presupuesto relativo</v>
      </c>
      <c r="R46" s="85" t="str">
        <f>+'P2.2'!S13</f>
        <v>Presupuesto relativo</v>
      </c>
      <c r="S46" s="85" t="str">
        <f>+'P2.2'!T13</f>
        <v>Presupuesto relativo</v>
      </c>
      <c r="T46" s="85" t="str">
        <f>+'P2.2'!U13</f>
        <v>Presupuesto relativo</v>
      </c>
      <c r="U46" s="85" t="str">
        <f>+'P2.2'!V13</f>
        <v>Presupuesto relativo</v>
      </c>
      <c r="V46" s="63">
        <f t="shared" si="11"/>
        <v>176001804</v>
      </c>
    </row>
    <row r="47" spans="2:22" ht="29.25" customHeight="1" x14ac:dyDescent="0.2">
      <c r="B47" s="12" t="s">
        <v>373</v>
      </c>
      <c r="C47" s="85">
        <f>+'P2.2'!D14</f>
        <v>0</v>
      </c>
      <c r="D47" s="85">
        <f>+'P2.2'!E14</f>
        <v>0</v>
      </c>
      <c r="E47" s="85">
        <f>+'P2.2'!F14</f>
        <v>0</v>
      </c>
      <c r="F47" s="85">
        <f>+'P2.2'!G14</f>
        <v>160000000</v>
      </c>
      <c r="G47" s="85">
        <f>+'P2.2'!H14</f>
        <v>160000000</v>
      </c>
      <c r="H47" s="85">
        <f>+'P2.2'!I14</f>
        <v>160000000</v>
      </c>
      <c r="I47" s="85">
        <f>+'P2.2'!J14</f>
        <v>160000000</v>
      </c>
      <c r="J47" s="85">
        <f>+'P2.2'!K14</f>
        <v>160000000</v>
      </c>
      <c r="K47" s="85">
        <f>+'P2.2'!L14</f>
        <v>0</v>
      </c>
      <c r="L47" s="85">
        <f>+'P2.2'!M14</f>
        <v>0</v>
      </c>
      <c r="M47" s="85">
        <f>+'P2.2'!N14</f>
        <v>0</v>
      </c>
      <c r="N47" s="85">
        <f>+'P2.2'!O14</f>
        <v>0</v>
      </c>
      <c r="O47" s="85">
        <f>+'P2.2'!P14</f>
        <v>0</v>
      </c>
      <c r="P47" s="85">
        <f>+'P2.2'!Q14</f>
        <v>0</v>
      </c>
      <c r="Q47" s="85">
        <f>+'P2.2'!R14</f>
        <v>0</v>
      </c>
      <c r="R47" s="85">
        <f>+'P2.2'!S14</f>
        <v>0</v>
      </c>
      <c r="S47" s="85">
        <f>+'P2.2'!T14</f>
        <v>0</v>
      </c>
      <c r="T47" s="85">
        <f>+'P2.2'!U14</f>
        <v>0</v>
      </c>
      <c r="U47" s="85">
        <f>+'P2.2'!V14</f>
        <v>0</v>
      </c>
      <c r="V47" s="63">
        <f t="shared" si="11"/>
        <v>800000000</v>
      </c>
    </row>
    <row r="48" spans="2:22" s="89" customFormat="1" ht="15" customHeight="1" x14ac:dyDescent="0.25">
      <c r="B48" s="9" t="s">
        <v>13</v>
      </c>
      <c r="C48" s="65">
        <f t="shared" ref="C48:U48" si="12">SUM(C49:C53)</f>
        <v>0</v>
      </c>
      <c r="D48" s="65">
        <f t="shared" si="12"/>
        <v>0</v>
      </c>
      <c r="E48" s="65">
        <f t="shared" si="12"/>
        <v>821640749.5</v>
      </c>
      <c r="F48" s="65">
        <f t="shared" si="12"/>
        <v>911640749.5</v>
      </c>
      <c r="G48" s="65">
        <f t="shared" si="12"/>
        <v>411640749.5</v>
      </c>
      <c r="H48" s="65">
        <f t="shared" si="12"/>
        <v>590000000</v>
      </c>
      <c r="I48" s="65">
        <f t="shared" si="12"/>
        <v>90000000</v>
      </c>
      <c r="J48" s="65">
        <f t="shared" si="12"/>
        <v>590000000</v>
      </c>
      <c r="K48" s="65">
        <f t="shared" si="12"/>
        <v>0</v>
      </c>
      <c r="L48" s="65">
        <f t="shared" si="12"/>
        <v>500000000</v>
      </c>
      <c r="M48" s="65">
        <f t="shared" si="12"/>
        <v>0</v>
      </c>
      <c r="N48" s="65">
        <f t="shared" si="12"/>
        <v>500000000</v>
      </c>
      <c r="O48" s="65">
        <f t="shared" si="12"/>
        <v>0</v>
      </c>
      <c r="P48" s="65">
        <f t="shared" si="12"/>
        <v>0</v>
      </c>
      <c r="Q48" s="65">
        <f t="shared" si="12"/>
        <v>0</v>
      </c>
      <c r="R48" s="65">
        <f t="shared" si="12"/>
        <v>0</v>
      </c>
      <c r="S48" s="65">
        <f t="shared" si="12"/>
        <v>0</v>
      </c>
      <c r="T48" s="65">
        <f t="shared" si="12"/>
        <v>0</v>
      </c>
      <c r="U48" s="65">
        <f t="shared" si="12"/>
        <v>0</v>
      </c>
      <c r="V48" s="65">
        <f>SUM(V49:V53)</f>
        <v>4414922248.5</v>
      </c>
    </row>
    <row r="49" spans="2:24" ht="26.25" customHeight="1" x14ac:dyDescent="0.2">
      <c r="B49" s="12" t="s">
        <v>382</v>
      </c>
      <c r="C49" s="147">
        <f>+'P2.3'!D8</f>
        <v>0</v>
      </c>
      <c r="D49" s="147">
        <f>+'P2.3'!E8</f>
        <v>0</v>
      </c>
      <c r="E49" s="147">
        <f>+'P2.3'!F8</f>
        <v>126727359</v>
      </c>
      <c r="F49" s="147">
        <f>+'P2.3'!G8</f>
        <v>126727359</v>
      </c>
      <c r="G49" s="147">
        <f>+'P2.3'!H8</f>
        <v>126727359</v>
      </c>
      <c r="H49" s="147">
        <f>+'P2.3'!I8</f>
        <v>0</v>
      </c>
      <c r="I49" s="147">
        <f>+'P2.3'!J8</f>
        <v>0</v>
      </c>
      <c r="J49" s="147">
        <f>+'P2.3'!K8</f>
        <v>0</v>
      </c>
      <c r="K49" s="147">
        <f>+'P2.3'!L8</f>
        <v>0</v>
      </c>
      <c r="L49" s="147">
        <f>+'P2.3'!M8</f>
        <v>0</v>
      </c>
      <c r="M49" s="147">
        <f>+'P2.3'!N8</f>
        <v>0</v>
      </c>
      <c r="N49" s="147">
        <f>+'P2.3'!O8</f>
        <v>0</v>
      </c>
      <c r="O49" s="147">
        <f>+'P2.3'!P8</f>
        <v>0</v>
      </c>
      <c r="P49" s="147">
        <f>+'P2.3'!Q8</f>
        <v>0</v>
      </c>
      <c r="Q49" s="147">
        <f>+'P2.3'!R8</f>
        <v>0</v>
      </c>
      <c r="R49" s="147">
        <f>+'P2.3'!S8</f>
        <v>0</v>
      </c>
      <c r="S49" s="147">
        <f>+'P2.3'!T8</f>
        <v>0</v>
      </c>
      <c r="T49" s="147">
        <f>+'P2.3'!U8</f>
        <v>0</v>
      </c>
      <c r="U49" s="147">
        <f>+'P2.3'!V8</f>
        <v>0</v>
      </c>
      <c r="V49" s="63">
        <f t="shared" si="11"/>
        <v>380182077</v>
      </c>
    </row>
    <row r="50" spans="2:24" ht="27.75" customHeight="1" x14ac:dyDescent="0.2">
      <c r="B50" s="12" t="s">
        <v>383</v>
      </c>
      <c r="C50" s="147">
        <f>+'P2.3'!D9</f>
        <v>0</v>
      </c>
      <c r="D50" s="147">
        <f>+'P2.3'!E9</f>
        <v>0</v>
      </c>
      <c r="E50" s="147">
        <f>+'P2.3'!F9</f>
        <v>146727359</v>
      </c>
      <c r="F50" s="147">
        <f>+'P2.3'!G9</f>
        <v>146727359</v>
      </c>
      <c r="G50" s="147">
        <f>+'P2.3'!H9</f>
        <v>146727359</v>
      </c>
      <c r="H50" s="147">
        <f>+'P2.3'!I9</f>
        <v>0</v>
      </c>
      <c r="I50" s="147">
        <f>+'P2.3'!J9</f>
        <v>0</v>
      </c>
      <c r="J50" s="147">
        <f>+'P2.3'!K9</f>
        <v>0</v>
      </c>
      <c r="K50" s="147">
        <f>+'P2.3'!L9</f>
        <v>0</v>
      </c>
      <c r="L50" s="147">
        <f>+'P2.3'!M9</f>
        <v>0</v>
      </c>
      <c r="M50" s="147">
        <f>+'P2.3'!N9</f>
        <v>0</v>
      </c>
      <c r="N50" s="147">
        <f>+'P2.3'!O9</f>
        <v>0</v>
      </c>
      <c r="O50" s="147">
        <f>+'P2.3'!P9</f>
        <v>0</v>
      </c>
      <c r="P50" s="147">
        <f>+'P2.3'!Q9</f>
        <v>0</v>
      </c>
      <c r="Q50" s="147">
        <f>+'P2.3'!R9</f>
        <v>0</v>
      </c>
      <c r="R50" s="147">
        <f>+'P2.3'!S9</f>
        <v>0</v>
      </c>
      <c r="S50" s="147">
        <f>+'P2.3'!T9</f>
        <v>0</v>
      </c>
      <c r="T50" s="147">
        <f>+'P2.3'!U9</f>
        <v>0</v>
      </c>
      <c r="U50" s="147">
        <f>+'P2.3'!V9</f>
        <v>0</v>
      </c>
      <c r="V50" s="63">
        <f t="shared" si="11"/>
        <v>440182077</v>
      </c>
    </row>
    <row r="51" spans="2:24" ht="40.5" customHeight="1" x14ac:dyDescent="0.2">
      <c r="B51" s="12" t="s">
        <v>384</v>
      </c>
      <c r="C51" s="147">
        <f>+'P2.3'!D10</f>
        <v>0</v>
      </c>
      <c r="D51" s="147">
        <f>+'P2.3'!E10</f>
        <v>0</v>
      </c>
      <c r="E51" s="147">
        <f>+'P2.3'!F10</f>
        <v>48186031.5</v>
      </c>
      <c r="F51" s="147">
        <f>+'P2.3'!G10</f>
        <v>48186031.5</v>
      </c>
      <c r="G51" s="147">
        <f>+'P2.3'!H10</f>
        <v>48186031.5</v>
      </c>
      <c r="H51" s="147">
        <f>+'P2.3'!I10</f>
        <v>0</v>
      </c>
      <c r="I51" s="147">
        <f>+'P2.3'!J10</f>
        <v>0</v>
      </c>
      <c r="J51" s="147">
        <f>+'P2.3'!K10</f>
        <v>0</v>
      </c>
      <c r="K51" s="147">
        <f>+'P2.3'!L10</f>
        <v>0</v>
      </c>
      <c r="L51" s="147">
        <f>+'P2.3'!M10</f>
        <v>0</v>
      </c>
      <c r="M51" s="147">
        <f>+'P2.3'!N10</f>
        <v>0</v>
      </c>
      <c r="N51" s="147">
        <f>+'P2.3'!O10</f>
        <v>0</v>
      </c>
      <c r="O51" s="147">
        <f>+'P2.3'!P10</f>
        <v>0</v>
      </c>
      <c r="P51" s="147">
        <f>+'P2.3'!Q10</f>
        <v>0</v>
      </c>
      <c r="Q51" s="147">
        <f>+'P2.3'!R10</f>
        <v>0</v>
      </c>
      <c r="R51" s="147">
        <f>+'P2.3'!S10</f>
        <v>0</v>
      </c>
      <c r="S51" s="147">
        <f>+'P2.3'!T10</f>
        <v>0</v>
      </c>
      <c r="T51" s="147">
        <f>+'P2.3'!U10</f>
        <v>0</v>
      </c>
      <c r="U51" s="147">
        <f>+'P2.3'!V10</f>
        <v>0</v>
      </c>
      <c r="V51" s="63">
        <f t="shared" si="11"/>
        <v>144558094.5</v>
      </c>
    </row>
    <row r="52" spans="2:24" ht="26.25" customHeight="1" x14ac:dyDescent="0.2">
      <c r="B52" s="12" t="s">
        <v>385</v>
      </c>
      <c r="C52" s="147">
        <f>+'P2.3'!D11</f>
        <v>0</v>
      </c>
      <c r="D52" s="147">
        <f>+'P2.3'!E11</f>
        <v>0</v>
      </c>
      <c r="E52" s="147">
        <f>+'P2.3'!F11</f>
        <v>500000000</v>
      </c>
      <c r="F52" s="147">
        <f>+'P2.3'!G11</f>
        <v>500000000</v>
      </c>
      <c r="G52" s="147">
        <f>+'P2.3'!H11</f>
        <v>0</v>
      </c>
      <c r="H52" s="147">
        <f>+'P2.3'!I11</f>
        <v>500000000</v>
      </c>
      <c r="I52" s="147">
        <f>+'P2.3'!J11</f>
        <v>0</v>
      </c>
      <c r="J52" s="147">
        <f>+'P2.3'!K11</f>
        <v>500000000</v>
      </c>
      <c r="K52" s="147">
        <f>+'P2.3'!L11</f>
        <v>0</v>
      </c>
      <c r="L52" s="147">
        <f>+'P2.3'!M11</f>
        <v>500000000</v>
      </c>
      <c r="M52" s="147">
        <f>+'P2.3'!N11</f>
        <v>0</v>
      </c>
      <c r="N52" s="147">
        <f>+'P2.3'!O11</f>
        <v>500000000</v>
      </c>
      <c r="O52" s="147">
        <f>+'P2.3'!P11</f>
        <v>0</v>
      </c>
      <c r="P52" s="147">
        <f>+'P2.3'!Q11</f>
        <v>0</v>
      </c>
      <c r="Q52" s="147">
        <f>+'P2.3'!R11</f>
        <v>0</v>
      </c>
      <c r="R52" s="147">
        <f>+'P2.3'!S11</f>
        <v>0</v>
      </c>
      <c r="S52" s="147">
        <f>+'P2.3'!T11</f>
        <v>0</v>
      </c>
      <c r="T52" s="147">
        <f>+'P2.3'!U11</f>
        <v>0</v>
      </c>
      <c r="U52" s="147">
        <f>+'P2.3'!V11</f>
        <v>0</v>
      </c>
      <c r="V52" s="63">
        <f t="shared" si="11"/>
        <v>3000000000</v>
      </c>
    </row>
    <row r="53" spans="2:24" ht="29.25" customHeight="1" x14ac:dyDescent="0.2">
      <c r="B53" s="12" t="s">
        <v>386</v>
      </c>
      <c r="C53" s="147">
        <f>+'P2.3'!D12</f>
        <v>0</v>
      </c>
      <c r="D53" s="147">
        <f>+'P2.3'!E12</f>
        <v>0</v>
      </c>
      <c r="E53" s="147">
        <f>+'P2.3'!F12</f>
        <v>0</v>
      </c>
      <c r="F53" s="147">
        <f>+'P2.3'!G12</f>
        <v>90000000</v>
      </c>
      <c r="G53" s="147">
        <f>+'P2.3'!H12</f>
        <v>90000000</v>
      </c>
      <c r="H53" s="147">
        <f>+'P2.3'!I12</f>
        <v>90000000</v>
      </c>
      <c r="I53" s="147">
        <f>+'P2.3'!J12</f>
        <v>90000000</v>
      </c>
      <c r="J53" s="147">
        <f>+'P2.3'!K12</f>
        <v>90000000</v>
      </c>
      <c r="K53" s="147">
        <f>+'P2.3'!L12</f>
        <v>0</v>
      </c>
      <c r="L53" s="147">
        <f>+'P2.3'!M12</f>
        <v>0</v>
      </c>
      <c r="M53" s="147">
        <f>+'P2.3'!N12</f>
        <v>0</v>
      </c>
      <c r="N53" s="147">
        <f>+'P2.3'!O12</f>
        <v>0</v>
      </c>
      <c r="O53" s="147">
        <f>+'P2.3'!P12</f>
        <v>0</v>
      </c>
      <c r="P53" s="147">
        <f>+'P2.3'!Q12</f>
        <v>0</v>
      </c>
      <c r="Q53" s="147">
        <f>+'P2.3'!R12</f>
        <v>0</v>
      </c>
      <c r="R53" s="147">
        <f>+'P2.3'!S12</f>
        <v>0</v>
      </c>
      <c r="S53" s="147">
        <f>+'P2.3'!T12</f>
        <v>0</v>
      </c>
      <c r="T53" s="147">
        <f>+'P2.3'!U12</f>
        <v>0</v>
      </c>
      <c r="U53" s="147">
        <f>+'P2.3'!V12</f>
        <v>0</v>
      </c>
      <c r="V53" s="63">
        <f t="shared" si="11"/>
        <v>450000000</v>
      </c>
    </row>
    <row r="54" spans="2:24" s="89" customFormat="1" ht="15" customHeight="1" x14ac:dyDescent="0.2">
      <c r="B54" s="8" t="s">
        <v>579</v>
      </c>
      <c r="C54" s="179">
        <f>+C55+C60+C67+C74</f>
        <v>0</v>
      </c>
      <c r="D54" s="179">
        <f t="shared" ref="D54:U54" si="13">+D55+D60+D67+D74</f>
        <v>6807362528.5</v>
      </c>
      <c r="E54" s="179">
        <f t="shared" si="13"/>
        <v>6587387303</v>
      </c>
      <c r="F54" s="179">
        <f t="shared" si="13"/>
        <v>6282874445.5</v>
      </c>
      <c r="G54" s="179">
        <f t="shared" si="13"/>
        <v>6430145623.5</v>
      </c>
      <c r="H54" s="179">
        <f t="shared" si="13"/>
        <v>6282874445.5</v>
      </c>
      <c r="I54" s="179">
        <f t="shared" si="13"/>
        <v>5844504738</v>
      </c>
      <c r="J54" s="179">
        <f t="shared" si="13"/>
        <v>5991775916</v>
      </c>
      <c r="K54" s="179">
        <f t="shared" si="13"/>
        <v>5844504738</v>
      </c>
      <c r="L54" s="179">
        <f t="shared" si="13"/>
        <v>5844504738</v>
      </c>
      <c r="M54" s="179">
        <f t="shared" si="13"/>
        <v>5991775916</v>
      </c>
      <c r="N54" s="179">
        <f t="shared" si="13"/>
        <v>5844504738</v>
      </c>
      <c r="O54" s="179">
        <f t="shared" si="13"/>
        <v>5844504738</v>
      </c>
      <c r="P54" s="179">
        <f t="shared" si="13"/>
        <v>5832655775</v>
      </c>
      <c r="Q54" s="179">
        <f t="shared" si="13"/>
        <v>5660384597</v>
      </c>
      <c r="R54" s="179">
        <f t="shared" si="13"/>
        <v>5660384597</v>
      </c>
      <c r="S54" s="179">
        <f t="shared" si="13"/>
        <v>5807655775</v>
      </c>
      <c r="T54" s="179">
        <f t="shared" si="13"/>
        <v>5660384597</v>
      </c>
      <c r="U54" s="179">
        <f t="shared" si="13"/>
        <v>5660384597</v>
      </c>
      <c r="V54" s="179">
        <f>+V55+V60+V67+V74</f>
        <v>107878569806</v>
      </c>
      <c r="W54" s="239">
        <f>SUM(C54:U54)</f>
        <v>107878569806</v>
      </c>
      <c r="X54" s="236">
        <f>+V54-W54</f>
        <v>0</v>
      </c>
    </row>
    <row r="55" spans="2:24" s="89" customFormat="1" ht="13.5" customHeight="1" x14ac:dyDescent="0.25">
      <c r="B55" s="9" t="s">
        <v>392</v>
      </c>
      <c r="C55" s="65">
        <f t="shared" ref="C55:U55" si="14">SUM(C56:C59)</f>
        <v>0</v>
      </c>
      <c r="D55" s="65">
        <f t="shared" si="14"/>
        <v>1611194779.5</v>
      </c>
      <c r="E55" s="65">
        <f t="shared" si="14"/>
        <v>1798491859.5</v>
      </c>
      <c r="F55" s="65">
        <f t="shared" si="14"/>
        <v>1623491859.5</v>
      </c>
      <c r="G55" s="65">
        <f t="shared" si="14"/>
        <v>1623491859.5</v>
      </c>
      <c r="H55" s="65">
        <f t="shared" si="14"/>
        <v>1623491859.5</v>
      </c>
      <c r="I55" s="65">
        <f t="shared" si="14"/>
        <v>1323491859.5</v>
      </c>
      <c r="J55" s="65">
        <f t="shared" si="14"/>
        <v>1323491859.5</v>
      </c>
      <c r="K55" s="65">
        <f t="shared" si="14"/>
        <v>1323491859.5</v>
      </c>
      <c r="L55" s="65">
        <f t="shared" si="14"/>
        <v>1323491859.5</v>
      </c>
      <c r="M55" s="65">
        <f t="shared" si="14"/>
        <v>1323491859.5</v>
      </c>
      <c r="N55" s="65">
        <f t="shared" si="14"/>
        <v>1323491859.5</v>
      </c>
      <c r="O55" s="65">
        <f t="shared" si="14"/>
        <v>1323491859.5</v>
      </c>
      <c r="P55" s="65">
        <f t="shared" si="14"/>
        <v>1279491408.5</v>
      </c>
      <c r="Q55" s="65">
        <f t="shared" si="14"/>
        <v>1254491408.5</v>
      </c>
      <c r="R55" s="65">
        <f t="shared" si="14"/>
        <v>1254491408.5</v>
      </c>
      <c r="S55" s="65">
        <f t="shared" si="14"/>
        <v>1254491408.5</v>
      </c>
      <c r="T55" s="65">
        <f t="shared" si="14"/>
        <v>1254491408.5</v>
      </c>
      <c r="U55" s="65">
        <f t="shared" si="14"/>
        <v>1254491408.5</v>
      </c>
      <c r="V55" s="65">
        <f>SUM(V56:V59)</f>
        <v>25096553685</v>
      </c>
    </row>
    <row r="56" spans="2:24" ht="26.25" customHeight="1" x14ac:dyDescent="0.2">
      <c r="B56" s="12" t="s">
        <v>393</v>
      </c>
      <c r="C56" s="85">
        <f>+'P3.1'!D8</f>
        <v>0</v>
      </c>
      <c r="D56" s="85">
        <f>+'P3.1'!E8</f>
        <v>112702920</v>
      </c>
      <c r="E56" s="85">
        <f>+'P3.1'!F8</f>
        <v>300000000</v>
      </c>
      <c r="F56" s="85">
        <f>+'P3.1'!G8</f>
        <v>300000000</v>
      </c>
      <c r="G56" s="85">
        <f>+'P3.1'!H8</f>
        <v>300000000</v>
      </c>
      <c r="H56" s="85">
        <f>+'P3.1'!I8</f>
        <v>300000000</v>
      </c>
      <c r="I56" s="85">
        <f>+'P3.1'!J8</f>
        <v>0</v>
      </c>
      <c r="J56" s="85">
        <f>+'P3.1'!K8</f>
        <v>0</v>
      </c>
      <c r="K56" s="85">
        <f>+'P3.1'!L8</f>
        <v>0</v>
      </c>
      <c r="L56" s="85">
        <f>+'P3.1'!M8</f>
        <v>0</v>
      </c>
      <c r="M56" s="85">
        <f>+'P3.1'!N8</f>
        <v>0</v>
      </c>
      <c r="N56" s="85">
        <f>+'P3.1'!O8</f>
        <v>0</v>
      </c>
      <c r="O56" s="85">
        <f>+'P3.1'!P8</f>
        <v>0</v>
      </c>
      <c r="P56" s="85">
        <f>+'P3.1'!Q8</f>
        <v>0</v>
      </c>
      <c r="Q56" s="85">
        <f>+'P3.1'!R8</f>
        <v>0</v>
      </c>
      <c r="R56" s="85">
        <f>+'P3.1'!S8</f>
        <v>0</v>
      </c>
      <c r="S56" s="85">
        <f>+'P3.1'!T8</f>
        <v>0</v>
      </c>
      <c r="T56" s="85">
        <f>+'P3.1'!U8</f>
        <v>0</v>
      </c>
      <c r="U56" s="85">
        <f>+'P3.1'!V8</f>
        <v>0</v>
      </c>
      <c r="V56" s="85">
        <f>SUM(C56:U56)</f>
        <v>1312702920</v>
      </c>
    </row>
    <row r="57" spans="2:24" ht="28.5" customHeight="1" x14ac:dyDescent="0.2">
      <c r="B57" s="12" t="s">
        <v>394</v>
      </c>
      <c r="C57" s="85">
        <f>+'P3.1'!D9</f>
        <v>0</v>
      </c>
      <c r="D57" s="85">
        <f>+'P3.1'!E9</f>
        <v>1254491408.5</v>
      </c>
      <c r="E57" s="85">
        <f>+'P3.1'!F9</f>
        <v>1254491408.5</v>
      </c>
      <c r="F57" s="85">
        <f>+'P3.1'!G9</f>
        <v>1254491408.5</v>
      </c>
      <c r="G57" s="85">
        <f>+'P3.1'!H9</f>
        <v>1254491408.5</v>
      </c>
      <c r="H57" s="85">
        <f>+'P3.1'!I9</f>
        <v>1254491408.5</v>
      </c>
      <c r="I57" s="85">
        <f>+'P3.1'!J9</f>
        <v>1254491408.5</v>
      </c>
      <c r="J57" s="85">
        <f>+'P3.1'!K9</f>
        <v>1254491408.5</v>
      </c>
      <c r="K57" s="85">
        <f>+'P3.1'!L9</f>
        <v>1254491408.5</v>
      </c>
      <c r="L57" s="85">
        <f>+'P3.1'!M9</f>
        <v>1254491408.5</v>
      </c>
      <c r="M57" s="85">
        <f>+'P3.1'!N9</f>
        <v>1254491408.5</v>
      </c>
      <c r="N57" s="85">
        <f>+'P3.1'!O9</f>
        <v>1254491408.5</v>
      </c>
      <c r="O57" s="85">
        <f>+'P3.1'!P9</f>
        <v>1254491408.5</v>
      </c>
      <c r="P57" s="85">
        <f>+'P3.1'!Q9</f>
        <v>1254491408.5</v>
      </c>
      <c r="Q57" s="85">
        <f>+'P3.1'!R9</f>
        <v>1254491408.5</v>
      </c>
      <c r="R57" s="85">
        <f>+'P3.1'!S9</f>
        <v>1254491408.5</v>
      </c>
      <c r="S57" s="85">
        <f>+'P3.1'!T9</f>
        <v>1254491408.5</v>
      </c>
      <c r="T57" s="85">
        <f>+'P3.1'!U9</f>
        <v>1254491408.5</v>
      </c>
      <c r="U57" s="85">
        <f>+'P3.1'!V9</f>
        <v>1254491408.5</v>
      </c>
      <c r="V57" s="85">
        <f>SUM(C57:U57)</f>
        <v>22580845353</v>
      </c>
    </row>
    <row r="58" spans="2:24" ht="39" customHeight="1" x14ac:dyDescent="0.2">
      <c r="B58" s="12" t="s">
        <v>396</v>
      </c>
      <c r="C58" s="85">
        <f>+'P3.1'!D10</f>
        <v>0</v>
      </c>
      <c r="D58" s="85">
        <f>+'P3.1'!E10</f>
        <v>200000000</v>
      </c>
      <c r="E58" s="85">
        <f>+'P3.1'!F10</f>
        <v>200000000</v>
      </c>
      <c r="F58" s="85">
        <f>+'P3.1'!G10</f>
        <v>25000000</v>
      </c>
      <c r="G58" s="85">
        <f>+'P3.1'!H10</f>
        <v>25000000</v>
      </c>
      <c r="H58" s="85">
        <f>+'P3.1'!I10</f>
        <v>25000000</v>
      </c>
      <c r="I58" s="85">
        <f>+'P3.1'!J10</f>
        <v>25000000</v>
      </c>
      <c r="J58" s="85">
        <f>+'P3.1'!K10</f>
        <v>25000000</v>
      </c>
      <c r="K58" s="85">
        <f>+'P3.1'!L10</f>
        <v>25000000</v>
      </c>
      <c r="L58" s="85">
        <f>+'P3.1'!M10</f>
        <v>25000000</v>
      </c>
      <c r="M58" s="85">
        <f>+'P3.1'!N10</f>
        <v>25000000</v>
      </c>
      <c r="N58" s="85">
        <f>+'P3.1'!O10</f>
        <v>25000000</v>
      </c>
      <c r="O58" s="85">
        <f>+'P3.1'!P10</f>
        <v>25000000</v>
      </c>
      <c r="P58" s="85">
        <f>+'P3.1'!Q10</f>
        <v>25000000</v>
      </c>
      <c r="Q58" s="85">
        <f>+'P3.1'!R10</f>
        <v>0</v>
      </c>
      <c r="R58" s="85">
        <f>+'P3.1'!S10</f>
        <v>0</v>
      </c>
      <c r="S58" s="85">
        <f>+'P3.1'!T10</f>
        <v>0</v>
      </c>
      <c r="T58" s="85">
        <f>+'P3.1'!U10</f>
        <v>0</v>
      </c>
      <c r="U58" s="85">
        <f>+'P3.1'!V10</f>
        <v>0</v>
      </c>
      <c r="V58" s="85">
        <f>SUM(C58:U58)</f>
        <v>675000000</v>
      </c>
    </row>
    <row r="59" spans="2:24" ht="24" x14ac:dyDescent="0.2">
      <c r="B59" s="12" t="s">
        <v>597</v>
      </c>
      <c r="C59" s="85">
        <f>+'P3.1'!D11</f>
        <v>0</v>
      </c>
      <c r="D59" s="85">
        <f>+'P3.1'!E11</f>
        <v>44000451</v>
      </c>
      <c r="E59" s="85">
        <f>+'P3.1'!F11</f>
        <v>44000451</v>
      </c>
      <c r="F59" s="85">
        <f>+'P3.1'!G11</f>
        <v>44000451</v>
      </c>
      <c r="G59" s="85">
        <f>+'P3.1'!H11</f>
        <v>44000451</v>
      </c>
      <c r="H59" s="85">
        <f>+'P3.1'!I11</f>
        <v>44000451</v>
      </c>
      <c r="I59" s="85">
        <f>+'P3.1'!J11</f>
        <v>44000451</v>
      </c>
      <c r="J59" s="85">
        <f>+'P3.1'!K11</f>
        <v>44000451</v>
      </c>
      <c r="K59" s="85">
        <f>+'P3.1'!L11</f>
        <v>44000451</v>
      </c>
      <c r="L59" s="85">
        <f>+'P3.1'!M11</f>
        <v>44000451</v>
      </c>
      <c r="M59" s="85">
        <f>+'P3.1'!N11</f>
        <v>44000451</v>
      </c>
      <c r="N59" s="85">
        <f>+'P3.1'!O11</f>
        <v>44000451</v>
      </c>
      <c r="O59" s="85">
        <f>+'P3.1'!P11</f>
        <v>44000451</v>
      </c>
      <c r="P59" s="85">
        <f>+'P3.1'!Q11</f>
        <v>0</v>
      </c>
      <c r="Q59" s="85">
        <f>+'P3.1'!R11</f>
        <v>0</v>
      </c>
      <c r="R59" s="85">
        <f>+'P3.1'!S11</f>
        <v>0</v>
      </c>
      <c r="S59" s="85">
        <f>+'P3.1'!T11</f>
        <v>0</v>
      </c>
      <c r="T59" s="85">
        <f>+'P3.1'!U11</f>
        <v>0</v>
      </c>
      <c r="U59" s="85">
        <f>+'P3.1'!V11</f>
        <v>0</v>
      </c>
      <c r="V59" s="85">
        <f>SUM(C59:U59)</f>
        <v>528005412</v>
      </c>
    </row>
    <row r="60" spans="2:24" s="89" customFormat="1" ht="18" customHeight="1" x14ac:dyDescent="0.25">
      <c r="B60" s="9" t="s">
        <v>582</v>
      </c>
      <c r="C60" s="65">
        <f t="shared" ref="C60:U60" si="15">SUM(C61:C66)</f>
        <v>0</v>
      </c>
      <c r="D60" s="65">
        <f t="shared" si="15"/>
        <v>1868477367</v>
      </c>
      <c r="E60" s="65">
        <f t="shared" si="15"/>
        <v>1608476239.5</v>
      </c>
      <c r="F60" s="65">
        <f t="shared" si="15"/>
        <v>1608476239.5</v>
      </c>
      <c r="G60" s="65">
        <f t="shared" si="15"/>
        <v>1608476239.5</v>
      </c>
      <c r="H60" s="65">
        <f t="shared" si="15"/>
        <v>1608476239.5</v>
      </c>
      <c r="I60" s="65">
        <f t="shared" si="15"/>
        <v>1485475112</v>
      </c>
      <c r="J60" s="65">
        <f t="shared" si="15"/>
        <v>1485475112</v>
      </c>
      <c r="K60" s="65">
        <f t="shared" si="15"/>
        <v>1485475112</v>
      </c>
      <c r="L60" s="65">
        <f t="shared" si="15"/>
        <v>1485475112</v>
      </c>
      <c r="M60" s="65">
        <f t="shared" si="15"/>
        <v>1485475112</v>
      </c>
      <c r="N60" s="65">
        <f t="shared" si="15"/>
        <v>1485475112</v>
      </c>
      <c r="O60" s="65">
        <f t="shared" si="15"/>
        <v>1485475112</v>
      </c>
      <c r="P60" s="65">
        <f t="shared" si="15"/>
        <v>1485475112</v>
      </c>
      <c r="Q60" s="65">
        <f t="shared" si="15"/>
        <v>1485475112</v>
      </c>
      <c r="R60" s="65">
        <f t="shared" si="15"/>
        <v>1485475112</v>
      </c>
      <c r="S60" s="65">
        <f t="shared" si="15"/>
        <v>1485475112</v>
      </c>
      <c r="T60" s="65">
        <f t="shared" si="15"/>
        <v>1485475112</v>
      </c>
      <c r="U60" s="65">
        <f t="shared" si="15"/>
        <v>1485475112</v>
      </c>
      <c r="V60" s="65">
        <f>SUM(V61:V66)</f>
        <v>27613558781</v>
      </c>
    </row>
    <row r="61" spans="2:24" x14ac:dyDescent="0.2">
      <c r="B61" s="12" t="s">
        <v>402</v>
      </c>
      <c r="C61" s="85">
        <f>+'P3.2'!D8</f>
        <v>0</v>
      </c>
      <c r="D61" s="85">
        <f>+'P3.2'!E8</f>
        <v>24270050.5</v>
      </c>
      <c r="E61" s="85">
        <f>+'P3.2'!F8</f>
        <v>24270050.5</v>
      </c>
      <c r="F61" s="85">
        <f>+'P3.2'!G8</f>
        <v>24270050.5</v>
      </c>
      <c r="G61" s="85">
        <f>+'P3.2'!H8</f>
        <v>24270050.5</v>
      </c>
      <c r="H61" s="85">
        <f>+'P3.2'!I8</f>
        <v>24270050.5</v>
      </c>
      <c r="I61" s="85">
        <f>+'P3.2'!J8</f>
        <v>24270050.5</v>
      </c>
      <c r="J61" s="85">
        <f>+'P3.2'!K8</f>
        <v>24270050.5</v>
      </c>
      <c r="K61" s="85">
        <f>+'P3.2'!L8</f>
        <v>24270050.5</v>
      </c>
      <c r="L61" s="85">
        <f>+'P3.2'!M8</f>
        <v>24270050.5</v>
      </c>
      <c r="M61" s="85">
        <f>+'P3.2'!N8</f>
        <v>24270050.5</v>
      </c>
      <c r="N61" s="85">
        <f>+'P3.2'!O8</f>
        <v>24270050.5</v>
      </c>
      <c r="O61" s="85">
        <f>+'P3.2'!P8</f>
        <v>24270050.5</v>
      </c>
      <c r="P61" s="85">
        <f>+'P3.2'!Q8</f>
        <v>24270050.5</v>
      </c>
      <c r="Q61" s="85">
        <f>+'P3.2'!R8</f>
        <v>24270050.5</v>
      </c>
      <c r="R61" s="85">
        <f>+'P3.2'!S8</f>
        <v>24270050.5</v>
      </c>
      <c r="S61" s="85">
        <f>+'P3.2'!T8</f>
        <v>24270050.5</v>
      </c>
      <c r="T61" s="85">
        <f>+'P3.2'!U8</f>
        <v>24270050.5</v>
      </c>
      <c r="U61" s="85">
        <f>+'P3.2'!V8</f>
        <v>24270050.5</v>
      </c>
      <c r="V61" s="85">
        <f t="shared" ref="V61:V78" si="16">SUM(C61:U61)</f>
        <v>436860909</v>
      </c>
    </row>
    <row r="62" spans="2:24" x14ac:dyDescent="0.2">
      <c r="B62" s="12" t="s">
        <v>403</v>
      </c>
      <c r="C62" s="85">
        <f>+'P3.2'!D9</f>
        <v>0</v>
      </c>
      <c r="D62" s="85">
        <f>+'P3.2'!E9</f>
        <v>110001127.5</v>
      </c>
      <c r="E62" s="85">
        <f>+'P3.2'!F9</f>
        <v>110001127.5</v>
      </c>
      <c r="F62" s="85">
        <f>+'P3.2'!G9</f>
        <v>110001127.5</v>
      </c>
      <c r="G62" s="85">
        <f>+'P3.2'!H9</f>
        <v>110001127.5</v>
      </c>
      <c r="H62" s="85">
        <f>+'P3.2'!I9</f>
        <v>110001127.5</v>
      </c>
      <c r="I62" s="85">
        <f>+'P3.2'!J9</f>
        <v>110001127.5</v>
      </c>
      <c r="J62" s="85">
        <f>+'P3.2'!K9</f>
        <v>110001127.5</v>
      </c>
      <c r="K62" s="85">
        <f>+'P3.2'!L9</f>
        <v>110001127.5</v>
      </c>
      <c r="L62" s="85">
        <f>+'P3.2'!M9</f>
        <v>110001127.5</v>
      </c>
      <c r="M62" s="85">
        <f>+'P3.2'!N9</f>
        <v>110001127.5</v>
      </c>
      <c r="N62" s="85">
        <f>+'P3.2'!O9</f>
        <v>110001127.5</v>
      </c>
      <c r="O62" s="85">
        <f>+'P3.2'!P9</f>
        <v>110001127.5</v>
      </c>
      <c r="P62" s="85">
        <f>+'P3.2'!Q9</f>
        <v>110001127.5</v>
      </c>
      <c r="Q62" s="85">
        <f>+'P3.2'!R9</f>
        <v>110001127.5</v>
      </c>
      <c r="R62" s="85">
        <f>+'P3.2'!S9</f>
        <v>110001127.5</v>
      </c>
      <c r="S62" s="85">
        <f>+'P3.2'!T9</f>
        <v>110001127.5</v>
      </c>
      <c r="T62" s="85">
        <f>+'P3.2'!U9</f>
        <v>110001127.5</v>
      </c>
      <c r="U62" s="85">
        <f>+'P3.2'!V9</f>
        <v>110001127.5</v>
      </c>
      <c r="V62" s="85">
        <f t="shared" si="16"/>
        <v>1980020295</v>
      </c>
    </row>
    <row r="63" spans="2:24" ht="28.5" customHeight="1" x14ac:dyDescent="0.2">
      <c r="B63" s="12" t="s">
        <v>404</v>
      </c>
      <c r="C63" s="85">
        <f>+'P3.2'!D10</f>
        <v>0</v>
      </c>
      <c r="D63" s="85">
        <f>+'P3.2'!E10</f>
        <v>123001127.5</v>
      </c>
      <c r="E63" s="85">
        <f>+'P3.2'!F10</f>
        <v>123001127.5</v>
      </c>
      <c r="F63" s="85">
        <f>+'P3.2'!G10</f>
        <v>123001127.5</v>
      </c>
      <c r="G63" s="85">
        <f>+'P3.2'!H10</f>
        <v>123001127.5</v>
      </c>
      <c r="H63" s="85">
        <f>+'P3.2'!I10</f>
        <v>123001127.5</v>
      </c>
      <c r="I63" s="85">
        <f>+'P3.2'!J10</f>
        <v>0</v>
      </c>
      <c r="J63" s="85">
        <f>+'P3.2'!K10</f>
        <v>0</v>
      </c>
      <c r="K63" s="85">
        <f>+'P3.2'!L10</f>
        <v>0</v>
      </c>
      <c r="L63" s="85">
        <f>+'P3.2'!M10</f>
        <v>0</v>
      </c>
      <c r="M63" s="85">
        <f>+'P3.2'!N10</f>
        <v>0</v>
      </c>
      <c r="N63" s="85">
        <f>+'P3.2'!O10</f>
        <v>0</v>
      </c>
      <c r="O63" s="85">
        <f>+'P3.2'!P10</f>
        <v>0</v>
      </c>
      <c r="P63" s="85">
        <f>+'P3.2'!Q10</f>
        <v>0</v>
      </c>
      <c r="Q63" s="85">
        <f>+'P3.2'!R10</f>
        <v>0</v>
      </c>
      <c r="R63" s="85">
        <f>+'P3.2'!S10</f>
        <v>0</v>
      </c>
      <c r="S63" s="85">
        <f>+'P3.2'!T10</f>
        <v>0</v>
      </c>
      <c r="T63" s="85">
        <f>+'P3.2'!U10</f>
        <v>0</v>
      </c>
      <c r="U63" s="85">
        <f>+'P3.2'!V10</f>
        <v>0</v>
      </c>
      <c r="V63" s="85">
        <f t="shared" si="16"/>
        <v>615005637.5</v>
      </c>
    </row>
    <row r="64" spans="2:24" ht="29.25" customHeight="1" x14ac:dyDescent="0.2">
      <c r="B64" s="12" t="s">
        <v>405</v>
      </c>
      <c r="C64" s="85">
        <f>+'P3.2'!D11</f>
        <v>0</v>
      </c>
      <c r="D64" s="85">
        <f>+'P3.2'!E11</f>
        <v>228562429</v>
      </c>
      <c r="E64" s="85">
        <f>+'P3.2'!F11</f>
        <v>228562429</v>
      </c>
      <c r="F64" s="85">
        <f>+'P3.2'!G11</f>
        <v>228562429</v>
      </c>
      <c r="G64" s="85">
        <f>+'P3.2'!H11</f>
        <v>228562429</v>
      </c>
      <c r="H64" s="85">
        <f>+'P3.2'!I11</f>
        <v>228562429</v>
      </c>
      <c r="I64" s="85">
        <f>+'P3.2'!J11</f>
        <v>228562429</v>
      </c>
      <c r="J64" s="85">
        <f>+'P3.2'!K11</f>
        <v>228562429</v>
      </c>
      <c r="K64" s="85">
        <f>+'P3.2'!L11</f>
        <v>228562429</v>
      </c>
      <c r="L64" s="85">
        <f>+'P3.2'!M11</f>
        <v>228562429</v>
      </c>
      <c r="M64" s="85">
        <f>+'P3.2'!N11</f>
        <v>228562429</v>
      </c>
      <c r="N64" s="85">
        <f>+'P3.2'!O11</f>
        <v>228562429</v>
      </c>
      <c r="O64" s="85">
        <f>+'P3.2'!P11</f>
        <v>228562429</v>
      </c>
      <c r="P64" s="85">
        <f>+'P3.2'!Q11</f>
        <v>228562429</v>
      </c>
      <c r="Q64" s="85">
        <f>+'P3.2'!R11</f>
        <v>228562429</v>
      </c>
      <c r="R64" s="85">
        <f>+'P3.2'!S11</f>
        <v>228562429</v>
      </c>
      <c r="S64" s="85">
        <f>+'P3.2'!T11</f>
        <v>228562429</v>
      </c>
      <c r="T64" s="85">
        <f>+'P3.2'!U11</f>
        <v>228562429</v>
      </c>
      <c r="U64" s="85">
        <f>+'P3.2'!V11</f>
        <v>228562429</v>
      </c>
      <c r="V64" s="85">
        <f t="shared" si="16"/>
        <v>4114123722</v>
      </c>
    </row>
    <row r="65" spans="2:24" ht="26.25" customHeight="1" x14ac:dyDescent="0.2">
      <c r="B65" s="12" t="s">
        <v>580</v>
      </c>
      <c r="C65" s="85">
        <f>+'P3.2'!D12</f>
        <v>0</v>
      </c>
      <c r="D65" s="85">
        <f>+'P3.2'!E12</f>
        <v>260001127.5</v>
      </c>
      <c r="E65" s="85" t="str">
        <f>+'P3.2'!F12</f>
        <v>Presupuesto relativo</v>
      </c>
      <c r="F65" s="85" t="str">
        <f>+'P3.2'!G12</f>
        <v>Presupuesto relativo</v>
      </c>
      <c r="G65" s="85" t="str">
        <f>+'P3.2'!H12</f>
        <v>Presupuesto relativo</v>
      </c>
      <c r="H65" s="85" t="str">
        <f>+'P3.2'!I12</f>
        <v>Presupuesto relativo</v>
      </c>
      <c r="I65" s="85" t="str">
        <f>+'P3.2'!J12</f>
        <v>Presupuesto relativo</v>
      </c>
      <c r="J65" s="85" t="str">
        <f>+'P3.2'!K12</f>
        <v>Presupuesto relativo</v>
      </c>
      <c r="K65" s="85" t="str">
        <f>+'P3.2'!L12</f>
        <v>Presupuesto relativo</v>
      </c>
      <c r="L65" s="85" t="str">
        <f>+'P3.2'!M12</f>
        <v>Presupuesto relativo</v>
      </c>
      <c r="M65" s="85" t="str">
        <f>+'P3.2'!N12</f>
        <v>Presupuesto relativo</v>
      </c>
      <c r="N65" s="85" t="str">
        <f>+'P3.2'!O12</f>
        <v>Presupuesto relativo</v>
      </c>
      <c r="O65" s="85" t="str">
        <f>+'P3.2'!P12</f>
        <v>Presupuesto relativo</v>
      </c>
      <c r="P65" s="85" t="str">
        <f>+'P3.2'!Q12</f>
        <v>Presupuesto relativo</v>
      </c>
      <c r="Q65" s="85" t="str">
        <f>+'P3.2'!R12</f>
        <v>Presupuesto relativo</v>
      </c>
      <c r="R65" s="85" t="str">
        <f>+'P3.2'!S12</f>
        <v>Presupuesto relativo</v>
      </c>
      <c r="S65" s="85" t="str">
        <f>+'P3.2'!T12</f>
        <v>Presupuesto relativo</v>
      </c>
      <c r="T65" s="85" t="str">
        <f>+'P3.2'!U12</f>
        <v>Presupuesto relativo</v>
      </c>
      <c r="U65" s="85" t="str">
        <f>+'P3.2'!V12</f>
        <v>Presupuesto relativo</v>
      </c>
      <c r="V65" s="85">
        <f t="shared" si="16"/>
        <v>260001127.5</v>
      </c>
    </row>
    <row r="66" spans="2:24" ht="36" x14ac:dyDescent="0.2">
      <c r="B66" s="12" t="s">
        <v>581</v>
      </c>
      <c r="C66" s="85">
        <f>+'P3.2'!D13</f>
        <v>0</v>
      </c>
      <c r="D66" s="85">
        <f>+'P3.2'!E13</f>
        <v>1122641505</v>
      </c>
      <c r="E66" s="85">
        <f>+'P3.2'!F13</f>
        <v>1122641505</v>
      </c>
      <c r="F66" s="85">
        <f>+'P3.2'!G13</f>
        <v>1122641505</v>
      </c>
      <c r="G66" s="85">
        <f>+'P3.2'!H13</f>
        <v>1122641505</v>
      </c>
      <c r="H66" s="85">
        <f>+'P3.2'!I13</f>
        <v>1122641505</v>
      </c>
      <c r="I66" s="85">
        <f>+'P3.2'!J13</f>
        <v>1122641505</v>
      </c>
      <c r="J66" s="85">
        <f>+'P3.2'!K13</f>
        <v>1122641505</v>
      </c>
      <c r="K66" s="85">
        <f>+'P3.2'!L13</f>
        <v>1122641505</v>
      </c>
      <c r="L66" s="85">
        <f>+'P3.2'!M13</f>
        <v>1122641505</v>
      </c>
      <c r="M66" s="85">
        <f>+'P3.2'!N13</f>
        <v>1122641505</v>
      </c>
      <c r="N66" s="85">
        <f>+'P3.2'!O13</f>
        <v>1122641505</v>
      </c>
      <c r="O66" s="85">
        <f>+'P3.2'!P13</f>
        <v>1122641505</v>
      </c>
      <c r="P66" s="85">
        <f>+'P3.2'!Q13</f>
        <v>1122641505</v>
      </c>
      <c r="Q66" s="85">
        <f>+'P3.2'!R13</f>
        <v>1122641505</v>
      </c>
      <c r="R66" s="85">
        <f>+'P3.2'!S13</f>
        <v>1122641505</v>
      </c>
      <c r="S66" s="85">
        <f>+'P3.2'!T13</f>
        <v>1122641505</v>
      </c>
      <c r="T66" s="85">
        <f>+'P3.2'!U13</f>
        <v>1122641505</v>
      </c>
      <c r="U66" s="85">
        <f>+'P3.2'!V13</f>
        <v>1122641505</v>
      </c>
      <c r="V66" s="85">
        <f t="shared" si="16"/>
        <v>20207547090</v>
      </c>
    </row>
    <row r="67" spans="2:24" x14ac:dyDescent="0.2">
      <c r="B67" s="9" t="s">
        <v>583</v>
      </c>
      <c r="C67" s="179">
        <f t="shared" ref="C67:U67" si="17">SUM(C68:C73)</f>
        <v>0</v>
      </c>
      <c r="D67" s="179">
        <f t="shared" si="17"/>
        <v>3327690382</v>
      </c>
      <c r="E67" s="179">
        <f t="shared" si="17"/>
        <v>3180419204</v>
      </c>
      <c r="F67" s="179">
        <f t="shared" si="17"/>
        <v>2920418076.5</v>
      </c>
      <c r="G67" s="179">
        <f t="shared" si="17"/>
        <v>3067689254.5</v>
      </c>
      <c r="H67" s="179">
        <f t="shared" si="17"/>
        <v>2920418076.5</v>
      </c>
      <c r="I67" s="179">
        <f t="shared" si="17"/>
        <v>2920418076.5</v>
      </c>
      <c r="J67" s="179">
        <f t="shared" si="17"/>
        <v>3067689254.5</v>
      </c>
      <c r="K67" s="179">
        <f t="shared" si="17"/>
        <v>2920418076.5</v>
      </c>
      <c r="L67" s="179">
        <f t="shared" si="17"/>
        <v>2920418076.5</v>
      </c>
      <c r="M67" s="179">
        <f t="shared" si="17"/>
        <v>3067689254.5</v>
      </c>
      <c r="N67" s="179">
        <f t="shared" si="17"/>
        <v>2920418076.5</v>
      </c>
      <c r="O67" s="179">
        <f t="shared" si="17"/>
        <v>2920418076.5</v>
      </c>
      <c r="P67" s="179">
        <f t="shared" si="17"/>
        <v>3067689254.5</v>
      </c>
      <c r="Q67" s="179">
        <f t="shared" si="17"/>
        <v>2920418076.5</v>
      </c>
      <c r="R67" s="179">
        <f t="shared" si="17"/>
        <v>2920418076.5</v>
      </c>
      <c r="S67" s="179">
        <f t="shared" si="17"/>
        <v>3067689254.5</v>
      </c>
      <c r="T67" s="179">
        <f t="shared" si="17"/>
        <v>2920418076.5</v>
      </c>
      <c r="U67" s="179">
        <f t="shared" si="17"/>
        <v>2920418076.5</v>
      </c>
      <c r="V67" s="179">
        <f>SUM(V68:V73)</f>
        <v>53971154700</v>
      </c>
    </row>
    <row r="68" spans="2:24" ht="24" x14ac:dyDescent="0.2">
      <c r="B68" s="12" t="s">
        <v>584</v>
      </c>
      <c r="C68" s="85">
        <f>+'P3.3'!D8</f>
        <v>0</v>
      </c>
      <c r="D68" s="85">
        <f>+'P3.3'!E8</f>
        <v>24270050.5</v>
      </c>
      <c r="E68" s="85">
        <f>+'P3.3'!F8</f>
        <v>0</v>
      </c>
      <c r="F68" s="85">
        <f>+'P3.3'!G8</f>
        <v>0</v>
      </c>
      <c r="G68" s="85">
        <f>+'P3.3'!H8</f>
        <v>24270050.5</v>
      </c>
      <c r="H68" s="85">
        <f>+'P3.3'!I8</f>
        <v>0</v>
      </c>
      <c r="I68" s="85">
        <f>+'P3.3'!J8</f>
        <v>0</v>
      </c>
      <c r="J68" s="85">
        <f>+'P3.3'!K8</f>
        <v>24270050.5</v>
      </c>
      <c r="K68" s="85">
        <f>+'P3.3'!L8</f>
        <v>0</v>
      </c>
      <c r="L68" s="85">
        <f>+'P3.3'!M8</f>
        <v>0</v>
      </c>
      <c r="M68" s="85">
        <f>+'P3.3'!N8</f>
        <v>24270050.5</v>
      </c>
      <c r="N68" s="85">
        <f>+'P3.3'!O8</f>
        <v>0</v>
      </c>
      <c r="O68" s="85">
        <f>+'P3.3'!P8</f>
        <v>0</v>
      </c>
      <c r="P68" s="85">
        <f>+'P3.3'!Q8</f>
        <v>24270050.5</v>
      </c>
      <c r="Q68" s="85">
        <f>+'P3.3'!R8</f>
        <v>0</v>
      </c>
      <c r="R68" s="85">
        <f>+'P3.3'!S8</f>
        <v>0</v>
      </c>
      <c r="S68" s="85">
        <f>+'P3.3'!T8</f>
        <v>24270050.5</v>
      </c>
      <c r="T68" s="85">
        <f>+'P3.3'!U8</f>
        <v>0</v>
      </c>
      <c r="U68" s="85">
        <f>+'P3.3'!V8</f>
        <v>0</v>
      </c>
      <c r="V68" s="85">
        <f t="shared" si="16"/>
        <v>145620303</v>
      </c>
    </row>
    <row r="69" spans="2:24" ht="24" x14ac:dyDescent="0.2">
      <c r="B69" s="12" t="s">
        <v>585</v>
      </c>
      <c r="C69" s="85">
        <f>+'P3.3'!D9</f>
        <v>0</v>
      </c>
      <c r="D69" s="85">
        <f>+'P3.3'!E9</f>
        <v>110001127.5</v>
      </c>
      <c r="E69" s="85">
        <f>+'P3.3'!F9</f>
        <v>110001127.5</v>
      </c>
      <c r="F69" s="85">
        <f>+'P3.3'!G9</f>
        <v>110001127.5</v>
      </c>
      <c r="G69" s="85">
        <f>+'P3.3'!H9</f>
        <v>110001127.5</v>
      </c>
      <c r="H69" s="85">
        <f>+'P3.3'!I9</f>
        <v>110001127.5</v>
      </c>
      <c r="I69" s="85">
        <f>+'P3.3'!J9</f>
        <v>110001127.5</v>
      </c>
      <c r="J69" s="85">
        <f>+'P3.3'!K9</f>
        <v>110001127.5</v>
      </c>
      <c r="K69" s="85">
        <f>+'P3.3'!L9</f>
        <v>110001127.5</v>
      </c>
      <c r="L69" s="85">
        <f>+'P3.3'!M9</f>
        <v>110001127.5</v>
      </c>
      <c r="M69" s="85">
        <f>+'P3.3'!N9</f>
        <v>110001127.5</v>
      </c>
      <c r="N69" s="85">
        <f>+'P3.3'!O9</f>
        <v>110001127.5</v>
      </c>
      <c r="O69" s="85">
        <f>+'P3.3'!P9</f>
        <v>110001127.5</v>
      </c>
      <c r="P69" s="85">
        <f>+'P3.3'!Q9</f>
        <v>110001127.5</v>
      </c>
      <c r="Q69" s="85">
        <f>+'P3.3'!R9</f>
        <v>110001127.5</v>
      </c>
      <c r="R69" s="85">
        <f>+'P3.3'!S9</f>
        <v>110001127.5</v>
      </c>
      <c r="S69" s="85">
        <f>+'P3.3'!T9</f>
        <v>110001127.5</v>
      </c>
      <c r="T69" s="85">
        <f>+'P3.3'!U9</f>
        <v>110001127.5</v>
      </c>
      <c r="U69" s="85">
        <f>+'P3.3'!V9</f>
        <v>110001127.5</v>
      </c>
      <c r="V69" s="85">
        <f t="shared" si="16"/>
        <v>1980020295</v>
      </c>
    </row>
    <row r="70" spans="2:24" ht="24" x14ac:dyDescent="0.2">
      <c r="B70" s="12" t="s">
        <v>586</v>
      </c>
      <c r="C70" s="85">
        <f>+'P3.3'!D10</f>
        <v>0</v>
      </c>
      <c r="D70" s="85">
        <f>+'P3.3'!E10</f>
        <v>123001127.5</v>
      </c>
      <c r="E70" s="85">
        <f>+'P3.3'!F10</f>
        <v>0</v>
      </c>
      <c r="F70" s="85">
        <f>+'P3.3'!G10</f>
        <v>0</v>
      </c>
      <c r="G70" s="85">
        <f>+'P3.3'!H10</f>
        <v>123001127.5</v>
      </c>
      <c r="H70" s="85">
        <f>+'P3.3'!I10</f>
        <v>0</v>
      </c>
      <c r="I70" s="85">
        <f>+'P3.3'!J10</f>
        <v>0</v>
      </c>
      <c r="J70" s="85">
        <f>+'P3.3'!K10</f>
        <v>123001127.5</v>
      </c>
      <c r="K70" s="85">
        <f>+'P3.3'!L10</f>
        <v>0</v>
      </c>
      <c r="L70" s="85">
        <f>+'P3.3'!M10</f>
        <v>0</v>
      </c>
      <c r="M70" s="85">
        <f>+'P3.3'!N10</f>
        <v>123001127.5</v>
      </c>
      <c r="N70" s="85">
        <f>+'P3.3'!O10</f>
        <v>0</v>
      </c>
      <c r="O70" s="85">
        <f>+'P3.3'!P10</f>
        <v>0</v>
      </c>
      <c r="P70" s="85">
        <f>+'P3.3'!Q10</f>
        <v>123001127.5</v>
      </c>
      <c r="Q70" s="85">
        <f>+'P3.3'!R10</f>
        <v>0</v>
      </c>
      <c r="R70" s="85">
        <f>+'P3.3'!S10</f>
        <v>0</v>
      </c>
      <c r="S70" s="85">
        <f>+'P3.3'!T10</f>
        <v>123001127.5</v>
      </c>
      <c r="T70" s="85">
        <f>+'P3.3'!U10</f>
        <v>0</v>
      </c>
      <c r="U70" s="85">
        <f>+'P3.3'!V10</f>
        <v>0</v>
      </c>
      <c r="V70" s="85">
        <f t="shared" si="16"/>
        <v>738006765</v>
      </c>
    </row>
    <row r="71" spans="2:24" ht="24" x14ac:dyDescent="0.2">
      <c r="B71" s="12" t="s">
        <v>587</v>
      </c>
      <c r="C71" s="85">
        <f>+'P3.3'!D11</f>
        <v>0</v>
      </c>
      <c r="D71" s="85">
        <f>+'P3.3'!E11</f>
        <v>1837775444</v>
      </c>
      <c r="E71" s="85">
        <f>+'P3.3'!F11</f>
        <v>1837775444</v>
      </c>
      <c r="F71" s="85">
        <f>+'P3.3'!G11</f>
        <v>1837775444</v>
      </c>
      <c r="G71" s="85">
        <f>+'P3.3'!H11</f>
        <v>1837775444</v>
      </c>
      <c r="H71" s="85">
        <f>+'P3.3'!I11</f>
        <v>1837775444</v>
      </c>
      <c r="I71" s="85">
        <f>+'P3.3'!J11</f>
        <v>1837775444</v>
      </c>
      <c r="J71" s="85">
        <f>+'P3.3'!K11</f>
        <v>1837775444</v>
      </c>
      <c r="K71" s="85">
        <f>+'P3.3'!L11</f>
        <v>1837775444</v>
      </c>
      <c r="L71" s="85">
        <f>+'P3.3'!M11</f>
        <v>1837775444</v>
      </c>
      <c r="M71" s="85">
        <f>+'P3.3'!N11</f>
        <v>1837775444</v>
      </c>
      <c r="N71" s="85">
        <f>+'P3.3'!O11</f>
        <v>1837775444</v>
      </c>
      <c r="O71" s="85">
        <f>+'P3.3'!P11</f>
        <v>1837775444</v>
      </c>
      <c r="P71" s="85">
        <f>+'P3.3'!Q11</f>
        <v>1837775444</v>
      </c>
      <c r="Q71" s="85">
        <f>+'P3.3'!R11</f>
        <v>1837775444</v>
      </c>
      <c r="R71" s="85">
        <f>+'P3.3'!S11</f>
        <v>1837775444</v>
      </c>
      <c r="S71" s="85">
        <f>+'P3.3'!T11</f>
        <v>1837775444</v>
      </c>
      <c r="T71" s="85">
        <f>+'P3.3'!U11</f>
        <v>1837775444</v>
      </c>
      <c r="U71" s="85">
        <f>+'P3.3'!V11</f>
        <v>1837775444</v>
      </c>
      <c r="V71" s="85">
        <f t="shared" si="16"/>
        <v>33079957992</v>
      </c>
    </row>
    <row r="72" spans="2:24" ht="36" x14ac:dyDescent="0.2">
      <c r="B72" s="12" t="s">
        <v>588</v>
      </c>
      <c r="C72" s="85">
        <f>+'P3.3'!D12</f>
        <v>0</v>
      </c>
      <c r="D72" s="85">
        <f>+'P3.3'!E12</f>
        <v>260001127.5</v>
      </c>
      <c r="E72" s="85">
        <f>+'P3.3'!F12</f>
        <v>260001127.5</v>
      </c>
      <c r="F72" s="85" t="str">
        <f>+'P3.3'!G12</f>
        <v>Presupuesto relativo</v>
      </c>
      <c r="G72" s="85" t="str">
        <f>+'P3.3'!H12</f>
        <v>Presupuesto relativo</v>
      </c>
      <c r="H72" s="85" t="str">
        <f>+'P3.3'!I12</f>
        <v>Presupuesto relativo</v>
      </c>
      <c r="I72" s="85" t="str">
        <f>+'P3.3'!J12</f>
        <v>Presupuesto relativo</v>
      </c>
      <c r="J72" s="85" t="str">
        <f>+'P3.3'!K12</f>
        <v>Presupuesto relativo</v>
      </c>
      <c r="K72" s="85" t="str">
        <f>+'P3.3'!L12</f>
        <v>Presupuesto relativo</v>
      </c>
      <c r="L72" s="85" t="str">
        <f>+'P3.3'!M12</f>
        <v>Presupuesto relativo</v>
      </c>
      <c r="M72" s="85" t="str">
        <f>+'P3.3'!N12</f>
        <v>Presupuesto relativo</v>
      </c>
      <c r="N72" s="85" t="str">
        <f>+'P3.3'!O12</f>
        <v>Presupuesto relativo</v>
      </c>
      <c r="O72" s="85" t="str">
        <f>+'P3.3'!P12</f>
        <v>Presupuesto relativo</v>
      </c>
      <c r="P72" s="85" t="str">
        <f>+'P3.3'!Q12</f>
        <v>Presupuesto relativo</v>
      </c>
      <c r="Q72" s="85" t="str">
        <f>+'P3.3'!R12</f>
        <v>Presupuesto relativo</v>
      </c>
      <c r="R72" s="85" t="str">
        <f>+'P3.3'!S12</f>
        <v>Presupuesto relativo</v>
      </c>
      <c r="S72" s="85" t="str">
        <f>+'P3.3'!T12</f>
        <v>Presupuesto relativo</v>
      </c>
      <c r="T72" s="85" t="str">
        <f>+'P3.3'!U12</f>
        <v>Presupuesto relativo</v>
      </c>
      <c r="U72" s="85" t="str">
        <f>+'P3.3'!V12</f>
        <v>Presupuesto relativo</v>
      </c>
      <c r="V72" s="85">
        <f t="shared" si="16"/>
        <v>520002255</v>
      </c>
    </row>
    <row r="73" spans="2:24" ht="24" x14ac:dyDescent="0.2">
      <c r="B73" s="12" t="s">
        <v>589</v>
      </c>
      <c r="C73" s="85">
        <f>+'P3.3'!D13</f>
        <v>0</v>
      </c>
      <c r="D73" s="85">
        <f>+'P3.3'!E13</f>
        <v>972641505</v>
      </c>
      <c r="E73" s="85">
        <f>+'P3.3'!F13</f>
        <v>972641505</v>
      </c>
      <c r="F73" s="85">
        <f>+'P3.3'!G13</f>
        <v>972641505</v>
      </c>
      <c r="G73" s="85">
        <f>+'P3.3'!H13</f>
        <v>972641505</v>
      </c>
      <c r="H73" s="85">
        <f>+'P3.3'!I13</f>
        <v>972641505</v>
      </c>
      <c r="I73" s="85">
        <f>+'P3.3'!J13</f>
        <v>972641505</v>
      </c>
      <c r="J73" s="85">
        <f>+'P3.3'!K13</f>
        <v>972641505</v>
      </c>
      <c r="K73" s="85">
        <f>+'P3.3'!L13</f>
        <v>972641505</v>
      </c>
      <c r="L73" s="85">
        <f>+'P3.3'!M13</f>
        <v>972641505</v>
      </c>
      <c r="M73" s="85">
        <f>+'P3.3'!N13</f>
        <v>972641505</v>
      </c>
      <c r="N73" s="85">
        <f>+'P3.3'!O13</f>
        <v>972641505</v>
      </c>
      <c r="O73" s="85">
        <f>+'P3.3'!P13</f>
        <v>972641505</v>
      </c>
      <c r="P73" s="85">
        <f>+'P3.3'!Q13</f>
        <v>972641505</v>
      </c>
      <c r="Q73" s="85">
        <f>+'P3.3'!R13</f>
        <v>972641505</v>
      </c>
      <c r="R73" s="85">
        <f>+'P3.3'!S13</f>
        <v>972641505</v>
      </c>
      <c r="S73" s="85">
        <f>+'P3.3'!T13</f>
        <v>972641505</v>
      </c>
      <c r="T73" s="85">
        <f>+'P3.3'!U13</f>
        <v>972641505</v>
      </c>
      <c r="U73" s="85">
        <f>+'P3.3'!V13</f>
        <v>972641505</v>
      </c>
      <c r="V73" s="85">
        <f t="shared" si="16"/>
        <v>17507547090</v>
      </c>
    </row>
    <row r="74" spans="2:24" s="89" customFormat="1" ht="18" customHeight="1" x14ac:dyDescent="0.25">
      <c r="B74" s="9" t="s">
        <v>590</v>
      </c>
      <c r="C74" s="65">
        <f t="shared" ref="C74:U74" si="18">SUM(C75:C78)</f>
        <v>0</v>
      </c>
      <c r="D74" s="65">
        <f t="shared" si="18"/>
        <v>0</v>
      </c>
      <c r="E74" s="65">
        <f t="shared" si="18"/>
        <v>0</v>
      </c>
      <c r="F74" s="65">
        <f t="shared" si="18"/>
        <v>130488270</v>
      </c>
      <c r="G74" s="65">
        <f t="shared" si="18"/>
        <v>130488270</v>
      </c>
      <c r="H74" s="65">
        <f t="shared" si="18"/>
        <v>130488270</v>
      </c>
      <c r="I74" s="65">
        <f t="shared" si="18"/>
        <v>115119690</v>
      </c>
      <c r="J74" s="65">
        <f t="shared" si="18"/>
        <v>115119690</v>
      </c>
      <c r="K74" s="65">
        <f t="shared" si="18"/>
        <v>115119690</v>
      </c>
      <c r="L74" s="65">
        <f t="shared" si="18"/>
        <v>115119690</v>
      </c>
      <c r="M74" s="65">
        <f t="shared" si="18"/>
        <v>115119690</v>
      </c>
      <c r="N74" s="65">
        <f t="shared" si="18"/>
        <v>115119690</v>
      </c>
      <c r="O74" s="65">
        <f t="shared" si="18"/>
        <v>115119690</v>
      </c>
      <c r="P74" s="65">
        <f t="shared" si="18"/>
        <v>0</v>
      </c>
      <c r="Q74" s="65">
        <f t="shared" si="18"/>
        <v>0</v>
      </c>
      <c r="R74" s="65">
        <f t="shared" si="18"/>
        <v>0</v>
      </c>
      <c r="S74" s="65">
        <f t="shared" si="18"/>
        <v>0</v>
      </c>
      <c r="T74" s="65">
        <f t="shared" si="18"/>
        <v>0</v>
      </c>
      <c r="U74" s="65">
        <f t="shared" si="18"/>
        <v>0</v>
      </c>
      <c r="V74" s="65">
        <f>SUM(V75:V78)</f>
        <v>1197302640</v>
      </c>
    </row>
    <row r="75" spans="2:24" ht="26.25" customHeight="1" x14ac:dyDescent="0.2">
      <c r="B75" s="12" t="s">
        <v>591</v>
      </c>
      <c r="C75" s="85">
        <f>+'P3.4'!D8</f>
        <v>0</v>
      </c>
      <c r="D75" s="85">
        <f>+'P3.4'!E8</f>
        <v>0</v>
      </c>
      <c r="E75" s="85">
        <f>+'P3.4'!F8</f>
        <v>0</v>
      </c>
      <c r="F75" s="85">
        <f>+'P3.4'!G8</f>
        <v>15368580</v>
      </c>
      <c r="G75" s="85">
        <f>+'P3.4'!H8</f>
        <v>15368580</v>
      </c>
      <c r="H75" s="85">
        <f>+'P3.4'!I8</f>
        <v>15368580</v>
      </c>
      <c r="I75" s="85">
        <f>+'P3.4'!J8</f>
        <v>0</v>
      </c>
      <c r="J75" s="85">
        <f>+'P3.4'!K8</f>
        <v>0</v>
      </c>
      <c r="K75" s="85">
        <f>+'P3.4'!L8</f>
        <v>0</v>
      </c>
      <c r="L75" s="85">
        <f>+'P3.4'!M8</f>
        <v>0</v>
      </c>
      <c r="M75" s="85">
        <f>+'P3.4'!N8</f>
        <v>0</v>
      </c>
      <c r="N75" s="85">
        <f>+'P3.4'!O8</f>
        <v>0</v>
      </c>
      <c r="O75" s="85">
        <f>+'P3.4'!P8</f>
        <v>0</v>
      </c>
      <c r="P75" s="85">
        <f>+'P3.4'!Q8</f>
        <v>0</v>
      </c>
      <c r="Q75" s="85">
        <f>+'P3.4'!R8</f>
        <v>0</v>
      </c>
      <c r="R75" s="85">
        <f>+'P3.4'!S8</f>
        <v>0</v>
      </c>
      <c r="S75" s="85">
        <f>+'P3.4'!T8</f>
        <v>0</v>
      </c>
      <c r="T75" s="85">
        <f>+'P3.4'!U8</f>
        <v>0</v>
      </c>
      <c r="U75" s="85">
        <f>+'P3.4'!V8</f>
        <v>0</v>
      </c>
      <c r="V75" s="85">
        <f t="shared" si="16"/>
        <v>46105740</v>
      </c>
    </row>
    <row r="76" spans="2:24" ht="30" customHeight="1" x14ac:dyDescent="0.2">
      <c r="B76" s="12" t="s">
        <v>592</v>
      </c>
      <c r="C76" s="85">
        <f>+'P3.4'!D9</f>
        <v>0</v>
      </c>
      <c r="D76" s="85">
        <f>+'P3.4'!E9</f>
        <v>0</v>
      </c>
      <c r="E76" s="85">
        <f>+'P3.4'!F9</f>
        <v>0</v>
      </c>
      <c r="F76" s="85">
        <f>+'P3.4'!G9</f>
        <v>58768230</v>
      </c>
      <c r="G76" s="85">
        <f>+'P3.4'!H9</f>
        <v>58768230</v>
      </c>
      <c r="H76" s="85">
        <f>+'P3.4'!I9</f>
        <v>58768230</v>
      </c>
      <c r="I76" s="85">
        <f>+'P3.4'!J9</f>
        <v>58768230</v>
      </c>
      <c r="J76" s="85">
        <f>+'P3.4'!K9</f>
        <v>58768230</v>
      </c>
      <c r="K76" s="85">
        <f>+'P3.4'!L9</f>
        <v>58768230</v>
      </c>
      <c r="L76" s="85">
        <f>+'P3.4'!M9</f>
        <v>58768230</v>
      </c>
      <c r="M76" s="85">
        <f>+'P3.4'!N9</f>
        <v>58768230</v>
      </c>
      <c r="N76" s="85">
        <f>+'P3.4'!O9</f>
        <v>58768230</v>
      </c>
      <c r="O76" s="85">
        <f>+'P3.4'!P9</f>
        <v>58768230</v>
      </c>
      <c r="P76" s="85">
        <f>+'P3.4'!Q9</f>
        <v>0</v>
      </c>
      <c r="Q76" s="85">
        <f>+'P3.4'!R9</f>
        <v>0</v>
      </c>
      <c r="R76" s="85">
        <f>+'P3.4'!S9</f>
        <v>0</v>
      </c>
      <c r="S76" s="85">
        <f>+'P3.4'!T9</f>
        <v>0</v>
      </c>
      <c r="T76" s="85">
        <f>+'P3.4'!U9</f>
        <v>0</v>
      </c>
      <c r="U76" s="85">
        <f>+'P3.4'!V9</f>
        <v>0</v>
      </c>
      <c r="V76" s="85">
        <f t="shared" si="16"/>
        <v>587682300</v>
      </c>
    </row>
    <row r="77" spans="2:24" ht="38.25" customHeight="1" x14ac:dyDescent="0.2">
      <c r="B77" s="12" t="s">
        <v>593</v>
      </c>
      <c r="C77" s="85">
        <f>+'P3.4'!D10</f>
        <v>0</v>
      </c>
      <c r="D77" s="85">
        <f>+'P3.4'!E10</f>
        <v>0</v>
      </c>
      <c r="E77" s="85">
        <f>+'P3.4'!F10</f>
        <v>0</v>
      </c>
      <c r="F77" s="85">
        <f>+'P3.4'!G10</f>
        <v>33810876</v>
      </c>
      <c r="G77" s="85">
        <f>+'P3.4'!H10</f>
        <v>33810876</v>
      </c>
      <c r="H77" s="85">
        <f>+'P3.4'!I10</f>
        <v>33810876</v>
      </c>
      <c r="I77" s="85">
        <f>+'P3.4'!J10</f>
        <v>33810876</v>
      </c>
      <c r="J77" s="85">
        <f>+'P3.4'!K10</f>
        <v>33810876</v>
      </c>
      <c r="K77" s="85">
        <f>+'P3.4'!L10</f>
        <v>33810876</v>
      </c>
      <c r="L77" s="85">
        <f>+'P3.4'!M10</f>
        <v>33810876</v>
      </c>
      <c r="M77" s="85">
        <f>+'P3.4'!N10</f>
        <v>33810876</v>
      </c>
      <c r="N77" s="85">
        <f>+'P3.4'!O10</f>
        <v>33810876</v>
      </c>
      <c r="O77" s="85">
        <f>+'P3.4'!P10</f>
        <v>33810876</v>
      </c>
      <c r="P77" s="85">
        <f>+'P3.4'!Q10</f>
        <v>0</v>
      </c>
      <c r="Q77" s="85">
        <f>+'P3.4'!R10</f>
        <v>0</v>
      </c>
      <c r="R77" s="85">
        <f>+'P3.4'!S10</f>
        <v>0</v>
      </c>
      <c r="S77" s="85">
        <f>+'P3.4'!T10</f>
        <v>0</v>
      </c>
      <c r="T77" s="85">
        <f>+'P3.4'!U10</f>
        <v>0</v>
      </c>
      <c r="U77" s="85">
        <f>+'P3.4'!V10</f>
        <v>0</v>
      </c>
      <c r="V77" s="85">
        <f t="shared" si="16"/>
        <v>338108760</v>
      </c>
    </row>
    <row r="78" spans="2:24" ht="30.75" customHeight="1" x14ac:dyDescent="0.2">
      <c r="B78" s="12" t="s">
        <v>594</v>
      </c>
      <c r="C78" s="85">
        <f>+'P3.4'!D11</f>
        <v>0</v>
      </c>
      <c r="D78" s="85">
        <f>+'P3.4'!E11</f>
        <v>0</v>
      </c>
      <c r="E78" s="85">
        <f>+'P3.4'!F11</f>
        <v>0</v>
      </c>
      <c r="F78" s="85">
        <f>+'P3.4'!G11</f>
        <v>22540584</v>
      </c>
      <c r="G78" s="85">
        <f>+'P3.4'!H11</f>
        <v>22540584</v>
      </c>
      <c r="H78" s="85">
        <f>+'P3.4'!I11</f>
        <v>22540584</v>
      </c>
      <c r="I78" s="85">
        <f>+'P3.4'!J11</f>
        <v>22540584</v>
      </c>
      <c r="J78" s="85">
        <f>+'P3.4'!K11</f>
        <v>22540584</v>
      </c>
      <c r="K78" s="85">
        <f>+'P3.4'!L11</f>
        <v>22540584</v>
      </c>
      <c r="L78" s="85">
        <f>+'P3.4'!M11</f>
        <v>22540584</v>
      </c>
      <c r="M78" s="85">
        <f>+'P3.4'!N11</f>
        <v>22540584</v>
      </c>
      <c r="N78" s="85">
        <f>+'P3.4'!O11</f>
        <v>22540584</v>
      </c>
      <c r="O78" s="85">
        <f>+'P3.4'!P11</f>
        <v>22540584</v>
      </c>
      <c r="P78" s="85">
        <f>+'P3.4'!Q11</f>
        <v>0</v>
      </c>
      <c r="Q78" s="85">
        <f>+'P3.4'!R11</f>
        <v>0</v>
      </c>
      <c r="R78" s="85">
        <f>+'P3.4'!S11</f>
        <v>0</v>
      </c>
      <c r="S78" s="85">
        <f>+'P3.4'!T11</f>
        <v>0</v>
      </c>
      <c r="T78" s="85">
        <f>+'P3.4'!U11</f>
        <v>0</v>
      </c>
      <c r="U78" s="85">
        <f>+'P3.4'!V11</f>
        <v>0</v>
      </c>
      <c r="V78" s="85">
        <f t="shared" si="16"/>
        <v>225405840</v>
      </c>
    </row>
    <row r="79" spans="2:24" s="89" customFormat="1" ht="15.75" customHeight="1" x14ac:dyDescent="0.25">
      <c r="B79" s="8" t="s">
        <v>213</v>
      </c>
      <c r="C79" s="179">
        <f>+C80+C90</f>
        <v>0</v>
      </c>
      <c r="D79" s="179">
        <f t="shared" ref="D79:V79" si="19">+D80+D90</f>
        <v>0</v>
      </c>
      <c r="E79" s="179">
        <f t="shared" si="19"/>
        <v>251070053.25</v>
      </c>
      <c r="F79" s="179">
        <f t="shared" si="19"/>
        <v>767925814</v>
      </c>
      <c r="G79" s="179">
        <f t="shared" si="19"/>
        <v>35775660855</v>
      </c>
      <c r="H79" s="179">
        <f t="shared" si="19"/>
        <v>35206539261</v>
      </c>
      <c r="I79" s="179">
        <f t="shared" si="19"/>
        <v>35156909322.25</v>
      </c>
      <c r="J79" s="179">
        <f t="shared" si="19"/>
        <v>35156909322.25</v>
      </c>
      <c r="K79" s="179">
        <f t="shared" si="19"/>
        <v>35000000000</v>
      </c>
      <c r="L79" s="179">
        <f t="shared" si="19"/>
        <v>3641159351.5999999</v>
      </c>
      <c r="M79" s="179">
        <f t="shared" si="19"/>
        <v>3500000000</v>
      </c>
      <c r="N79" s="179">
        <f t="shared" si="19"/>
        <v>3500000000</v>
      </c>
      <c r="O79" s="179">
        <f t="shared" si="19"/>
        <v>3500000000</v>
      </c>
      <c r="P79" s="179">
        <f t="shared" si="19"/>
        <v>3500000000</v>
      </c>
      <c r="Q79" s="179">
        <f t="shared" si="19"/>
        <v>3641159351.5999999</v>
      </c>
      <c r="R79" s="179">
        <f t="shared" si="19"/>
        <v>3500000000</v>
      </c>
      <c r="S79" s="179">
        <f t="shared" si="19"/>
        <v>3500000000</v>
      </c>
      <c r="T79" s="179">
        <f t="shared" si="19"/>
        <v>3656909322.25</v>
      </c>
      <c r="U79" s="179">
        <f t="shared" si="19"/>
        <v>3500000000</v>
      </c>
      <c r="V79" s="179">
        <f t="shared" si="19"/>
        <v>212754242653.20001</v>
      </c>
      <c r="W79" s="238">
        <f>SUM(C79:U79)</f>
        <v>212754242653.20001</v>
      </c>
      <c r="X79" s="237">
        <f>+V79-W79</f>
        <v>0</v>
      </c>
    </row>
    <row r="80" spans="2:24" s="89" customFormat="1" ht="18" customHeight="1" x14ac:dyDescent="0.25">
      <c r="B80" s="9" t="s">
        <v>15</v>
      </c>
      <c r="C80" s="65">
        <f t="shared" ref="C80:U80" si="20">SUM(C81:C89)</f>
        <v>0</v>
      </c>
      <c r="D80" s="65">
        <f t="shared" si="20"/>
        <v>0</v>
      </c>
      <c r="E80" s="65">
        <f t="shared" si="20"/>
        <v>251070053.25</v>
      </c>
      <c r="F80" s="65">
        <f t="shared" si="20"/>
        <v>718295875.25</v>
      </c>
      <c r="G80" s="65">
        <f t="shared" si="20"/>
        <v>35569121594</v>
      </c>
      <c r="H80" s="65">
        <f t="shared" si="20"/>
        <v>35000000000</v>
      </c>
      <c r="I80" s="65">
        <f t="shared" si="20"/>
        <v>35000000000</v>
      </c>
      <c r="J80" s="65">
        <f t="shared" si="20"/>
        <v>35000000000</v>
      </c>
      <c r="K80" s="65">
        <f t="shared" si="20"/>
        <v>35000000000</v>
      </c>
      <c r="L80" s="65">
        <f t="shared" si="20"/>
        <v>3641159351.5999999</v>
      </c>
      <c r="M80" s="65">
        <f t="shared" si="20"/>
        <v>3500000000</v>
      </c>
      <c r="N80" s="65">
        <f t="shared" si="20"/>
        <v>3500000000</v>
      </c>
      <c r="O80" s="65">
        <f t="shared" si="20"/>
        <v>3500000000</v>
      </c>
      <c r="P80" s="65">
        <f t="shared" si="20"/>
        <v>3500000000</v>
      </c>
      <c r="Q80" s="65">
        <f t="shared" si="20"/>
        <v>3641159351.5999999</v>
      </c>
      <c r="R80" s="65">
        <f t="shared" si="20"/>
        <v>3500000000</v>
      </c>
      <c r="S80" s="65">
        <f t="shared" si="20"/>
        <v>3500000000</v>
      </c>
      <c r="T80" s="65">
        <f t="shared" si="20"/>
        <v>3500000000</v>
      </c>
      <c r="U80" s="65">
        <f t="shared" si="20"/>
        <v>3500000000</v>
      </c>
      <c r="V80" s="65">
        <f>SUM(V81:V89)</f>
        <v>211820806225.70001</v>
      </c>
    </row>
    <row r="81" spans="2:24" ht="36" x14ac:dyDescent="0.2">
      <c r="B81" s="12" t="s">
        <v>417</v>
      </c>
      <c r="C81" s="85">
        <f>+'P4.1'!D8</f>
        <v>0</v>
      </c>
      <c r="D81" s="85">
        <f>+'P4.1'!E8</f>
        <v>0</v>
      </c>
      <c r="E81" s="85">
        <f>+'P4.1'!F8</f>
        <v>98226395.25</v>
      </c>
      <c r="F81" s="85">
        <f>+'P4.1'!G8</f>
        <v>98226395.25</v>
      </c>
      <c r="G81" s="85" t="str">
        <f>+'P4.1'!H8</f>
        <v>Presupuesto relativo</v>
      </c>
      <c r="H81" s="85">
        <f>+'P4.1'!I8</f>
        <v>0</v>
      </c>
      <c r="I81" s="85">
        <f>+'P4.1'!J8</f>
        <v>0</v>
      </c>
      <c r="J81" s="85" t="str">
        <f>+'P4.1'!K8</f>
        <v>Presupuesto relativo</v>
      </c>
      <c r="K81" s="85">
        <f>+'P4.1'!L8</f>
        <v>0</v>
      </c>
      <c r="L81" s="85">
        <f>+'P4.1'!M8</f>
        <v>0</v>
      </c>
      <c r="M81" s="85" t="str">
        <f>+'P4.1'!N8</f>
        <v>Presupuesto relativo</v>
      </c>
      <c r="N81" s="85">
        <f>+'P4.1'!O8</f>
        <v>0</v>
      </c>
      <c r="O81" s="85">
        <f>+'P4.1'!P8</f>
        <v>0</v>
      </c>
      <c r="P81" s="85" t="str">
        <f>+'P4.1'!Q8</f>
        <v>Presupuesto relativo</v>
      </c>
      <c r="Q81" s="85">
        <f>+'P4.1'!R8</f>
        <v>0</v>
      </c>
      <c r="R81" s="85">
        <f>+'P4.1'!S8</f>
        <v>0</v>
      </c>
      <c r="S81" s="85" t="str">
        <f>+'P4.1'!T8</f>
        <v>Presupuesto relativo</v>
      </c>
      <c r="T81" s="85">
        <f>+'P4.1'!U8</f>
        <v>0</v>
      </c>
      <c r="U81" s="85">
        <f>+'P4.1'!V8</f>
        <v>0</v>
      </c>
      <c r="V81" s="63">
        <f>SUM(C81:U81)</f>
        <v>196452790.5</v>
      </c>
    </row>
    <row r="82" spans="2:24" ht="30.75" customHeight="1" x14ac:dyDescent="0.2">
      <c r="B82" s="12" t="s">
        <v>418</v>
      </c>
      <c r="C82" s="85">
        <f>+'P4.1'!D9</f>
        <v>0</v>
      </c>
      <c r="D82" s="85">
        <f>+'P4.1'!E9</f>
        <v>0</v>
      </c>
      <c r="E82" s="85">
        <f>+'P4.1'!F9</f>
        <v>0</v>
      </c>
      <c r="F82" s="85">
        <f>+'P4.1'!G9</f>
        <v>141159351.59999999</v>
      </c>
      <c r="G82" s="85">
        <f>+'P4.1'!H9</f>
        <v>141159351.59999999</v>
      </c>
      <c r="H82" s="85">
        <f>+'P4.1'!I9</f>
        <v>0</v>
      </c>
      <c r="I82" s="85">
        <f>+'P4.1'!J9</f>
        <v>0</v>
      </c>
      <c r="J82" s="85">
        <f>+'P4.1'!K9</f>
        <v>0</v>
      </c>
      <c r="K82" s="85">
        <f>+'P4.1'!L9</f>
        <v>0</v>
      </c>
      <c r="L82" s="85">
        <f>+'P4.1'!M9</f>
        <v>141159351.59999999</v>
      </c>
      <c r="M82" s="85">
        <f>+'P4.1'!N9</f>
        <v>0</v>
      </c>
      <c r="N82" s="85">
        <f>+'P4.1'!O9</f>
        <v>0</v>
      </c>
      <c r="O82" s="85">
        <f>+'P4.1'!P9</f>
        <v>0</v>
      </c>
      <c r="P82" s="85">
        <f>+'P4.1'!Q9</f>
        <v>0</v>
      </c>
      <c r="Q82" s="85">
        <f>+'P4.1'!R9</f>
        <v>141159351.59999999</v>
      </c>
      <c r="R82" s="85">
        <f>+'P4.1'!S9</f>
        <v>0</v>
      </c>
      <c r="S82" s="85">
        <f>+'P4.1'!T9</f>
        <v>0</v>
      </c>
      <c r="T82" s="85">
        <f>+'P4.1'!U9</f>
        <v>0</v>
      </c>
      <c r="U82" s="85">
        <f>+'P4.1'!V9</f>
        <v>0</v>
      </c>
      <c r="V82" s="63">
        <f t="shared" ref="V82:V89" si="21">SUM(C82:U82)</f>
        <v>564637406.39999998</v>
      </c>
    </row>
    <row r="83" spans="2:24" ht="36" x14ac:dyDescent="0.2">
      <c r="B83" s="12" t="s">
        <v>538</v>
      </c>
      <c r="C83" s="85">
        <f>+'P4.1'!D10</f>
        <v>0</v>
      </c>
      <c r="D83" s="85">
        <f>+'P4.1'!E10</f>
        <v>0</v>
      </c>
      <c r="E83" s="85">
        <f>+'P4.1'!F10</f>
        <v>0</v>
      </c>
      <c r="F83" s="85">
        <f>+'P4.1'!G10</f>
        <v>61137463.199999996</v>
      </c>
      <c r="G83" s="85">
        <f>+'P4.1'!H10</f>
        <v>61137463.199999996</v>
      </c>
      <c r="H83" s="85" t="str">
        <f>+'P4.1'!I10</f>
        <v>Presupuesto Relativo</v>
      </c>
      <c r="I83" s="85" t="str">
        <f>+'P4.1'!J10</f>
        <v>Presupuesto Relativo</v>
      </c>
      <c r="J83" s="85" t="str">
        <f>+'P4.1'!K10</f>
        <v>Presupuesto Relativo</v>
      </c>
      <c r="K83" s="85" t="str">
        <f>+'P4.1'!L10</f>
        <v>Presupuesto Relativo</v>
      </c>
      <c r="L83" s="85" t="str">
        <f>+'P4.1'!M10</f>
        <v>Presupuesto Relativo</v>
      </c>
      <c r="M83" s="85" t="str">
        <f>+'P4.1'!N10</f>
        <v>Presupuesto Relativo</v>
      </c>
      <c r="N83" s="85" t="str">
        <f>+'P4.1'!O10</f>
        <v>Presupuesto Relativo</v>
      </c>
      <c r="O83" s="85" t="str">
        <f>+'P4.1'!P10</f>
        <v>Presupuesto Relativo</v>
      </c>
      <c r="P83" s="85" t="str">
        <f>+'P4.1'!Q10</f>
        <v>Presupuesto Relativo</v>
      </c>
      <c r="Q83" s="85" t="str">
        <f>+'P4.1'!R10</f>
        <v>Presupuesto Relativo</v>
      </c>
      <c r="R83" s="85" t="str">
        <f>+'P4.1'!S10</f>
        <v>Presupuesto Relativo</v>
      </c>
      <c r="S83" s="85" t="str">
        <f>+'P4.1'!T10</f>
        <v>Presupuesto Relativo</v>
      </c>
      <c r="T83" s="85" t="str">
        <f>+'P4.1'!U10</f>
        <v>Presupuesto Relativo</v>
      </c>
      <c r="U83" s="85" t="str">
        <f>+'P4.1'!V10</f>
        <v>Presupuesto Relativo</v>
      </c>
      <c r="V83" s="63">
        <f t="shared" si="21"/>
        <v>122274926.39999999</v>
      </c>
    </row>
    <row r="84" spans="2:24" ht="36" x14ac:dyDescent="0.2">
      <c r="B84" s="12" t="s">
        <v>419</v>
      </c>
      <c r="C84" s="85">
        <f>+'P4.1'!D11</f>
        <v>0</v>
      </c>
      <c r="D84" s="85">
        <f>+'P4.1'!E11</f>
        <v>0</v>
      </c>
      <c r="E84" s="85">
        <f>+'P4.1'!F11</f>
        <v>0</v>
      </c>
      <c r="F84" s="85">
        <f>+'P4.1'!G11</f>
        <v>50947886</v>
      </c>
      <c r="G84" s="85">
        <f>+'P4.1'!H11</f>
        <v>50947886</v>
      </c>
      <c r="H84" s="85" t="str">
        <f>+'P4.1'!I11</f>
        <v>Presupuesto Relativo</v>
      </c>
      <c r="I84" s="85" t="str">
        <f>+'P4.1'!J11</f>
        <v>Presupuesto Relativo</v>
      </c>
      <c r="J84" s="85" t="str">
        <f>+'P4.1'!K11</f>
        <v>Presupuesto Relativo</v>
      </c>
      <c r="K84" s="85" t="str">
        <f>+'P4.1'!L11</f>
        <v>Presupuesto Relativo</v>
      </c>
      <c r="L84" s="85" t="str">
        <f>+'P4.1'!M11</f>
        <v>Presupuesto Relativo</v>
      </c>
      <c r="M84" s="85" t="str">
        <f>+'P4.1'!N11</f>
        <v>Presupuesto Relativo</v>
      </c>
      <c r="N84" s="85" t="str">
        <f>+'P4.1'!O11</f>
        <v>Presupuesto Relativo</v>
      </c>
      <c r="O84" s="85" t="str">
        <f>+'P4.1'!P11</f>
        <v>Presupuesto Relativo</v>
      </c>
      <c r="P84" s="85" t="str">
        <f>+'P4.1'!Q11</f>
        <v>Presupuesto Relativo</v>
      </c>
      <c r="Q84" s="85" t="str">
        <f>+'P4.1'!R11</f>
        <v>Presupuesto Relativo</v>
      </c>
      <c r="R84" s="85" t="str">
        <f>+'P4.1'!S11</f>
        <v>Presupuesto Relativo</v>
      </c>
      <c r="S84" s="85" t="str">
        <f>+'P4.1'!T11</f>
        <v>Presupuesto Relativo</v>
      </c>
      <c r="T84" s="85" t="str">
        <f>+'P4.1'!U11</f>
        <v>Presupuesto Relativo</v>
      </c>
      <c r="U84" s="85" t="str">
        <f>+'P4.1'!V11</f>
        <v>Presupuesto Relativo</v>
      </c>
      <c r="V84" s="63">
        <f t="shared" si="21"/>
        <v>101895772</v>
      </c>
    </row>
    <row r="85" spans="2:24" ht="48" x14ac:dyDescent="0.2">
      <c r="B85" s="12" t="s">
        <v>539</v>
      </c>
      <c r="C85" s="85">
        <f>+'P4.1'!D12</f>
        <v>0</v>
      </c>
      <c r="D85" s="85">
        <f>+'P4.1'!E12</f>
        <v>0</v>
      </c>
      <c r="E85" s="85">
        <f>+'P4.1'!F12</f>
        <v>0</v>
      </c>
      <c r="F85" s="85">
        <f>+'P4.1'!G12</f>
        <v>61137463.199999996</v>
      </c>
      <c r="G85" s="85">
        <f>+'P4.1'!H12</f>
        <v>61137463.199999996</v>
      </c>
      <c r="H85" s="85" t="str">
        <f>+'P4.1'!I12</f>
        <v>Presupuesto Relativo</v>
      </c>
      <c r="I85" s="85">
        <f>+'P4.1'!J12</f>
        <v>0</v>
      </c>
      <c r="J85" s="85">
        <f>+'P4.1'!K12</f>
        <v>0</v>
      </c>
      <c r="K85" s="85" t="str">
        <f>+'P4.1'!L12</f>
        <v>Presupuesto Relativo</v>
      </c>
      <c r="L85" s="85">
        <f>+'P4.1'!M12</f>
        <v>0</v>
      </c>
      <c r="M85" s="85">
        <f>+'P4.1'!N12</f>
        <v>0</v>
      </c>
      <c r="N85" s="85">
        <f>+'P4.1'!O12</f>
        <v>0</v>
      </c>
      <c r="O85" s="85" t="str">
        <f>+'P4.1'!P12</f>
        <v>Presupuesto Relativo</v>
      </c>
      <c r="P85" s="85">
        <f>+'P4.1'!Q12</f>
        <v>0</v>
      </c>
      <c r="Q85" s="85">
        <f>+'P4.1'!R12</f>
        <v>0</v>
      </c>
      <c r="R85" s="85">
        <f>+'P4.1'!S12</f>
        <v>0</v>
      </c>
      <c r="S85" s="85" t="str">
        <f>+'P4.1'!T12</f>
        <v>Presupuesto Relativo</v>
      </c>
      <c r="T85" s="85">
        <f>+'P4.1'!U12</f>
        <v>0</v>
      </c>
      <c r="U85" s="85">
        <f>+'P4.1'!V12</f>
        <v>0</v>
      </c>
      <c r="V85" s="63">
        <f t="shared" si="21"/>
        <v>122274926.39999999</v>
      </c>
    </row>
    <row r="86" spans="2:24" ht="25.5" customHeight="1" x14ac:dyDescent="0.2">
      <c r="B86" s="12" t="s">
        <v>420</v>
      </c>
      <c r="C86" s="85">
        <f>+'P4.1'!D13</f>
        <v>0</v>
      </c>
      <c r="D86" s="85">
        <f>+'P4.1'!E13</f>
        <v>0</v>
      </c>
      <c r="E86" s="85">
        <f>+'P4.1'!F13</f>
        <v>101895772</v>
      </c>
      <c r="F86" s="85">
        <f>+'P4.1'!G13</f>
        <v>101895772</v>
      </c>
      <c r="G86" s="85">
        <f>+'P4.1'!H13</f>
        <v>101895772</v>
      </c>
      <c r="H86" s="85" t="str">
        <f>+'P4.1'!I13</f>
        <v>Presupuesto relativo</v>
      </c>
      <c r="I86" s="85" t="str">
        <f>+'P4.1'!J13</f>
        <v>Presupuesto relativo</v>
      </c>
      <c r="J86" s="85" t="str">
        <f>+'P4.1'!K13</f>
        <v>Presupuesto relativo</v>
      </c>
      <c r="K86" s="85" t="str">
        <f>+'P4.1'!L13</f>
        <v>Presupuesto relativo</v>
      </c>
      <c r="L86" s="85" t="str">
        <f>+'P4.1'!M13</f>
        <v>Presupuesto relativo</v>
      </c>
      <c r="M86" s="85" t="str">
        <f>+'P4.1'!N13</f>
        <v>Presupuesto relativo</v>
      </c>
      <c r="N86" s="85" t="str">
        <f>+'P4.1'!O13</f>
        <v>Presupuesto relativo</v>
      </c>
      <c r="O86" s="85" t="str">
        <f>+'P4.1'!P13</f>
        <v>Presupuesto relativo</v>
      </c>
      <c r="P86" s="85" t="str">
        <f>+'P4.1'!Q13</f>
        <v>Presupuesto relativo</v>
      </c>
      <c r="Q86" s="85" t="str">
        <f>+'P4.1'!R13</f>
        <v>Presupuesto relativo</v>
      </c>
      <c r="R86" s="85" t="str">
        <f>+'P4.1'!S13</f>
        <v>Presupuesto relativo</v>
      </c>
      <c r="S86" s="85" t="str">
        <f>+'P4.1'!T13</f>
        <v>Presupuesto relativo</v>
      </c>
      <c r="T86" s="85" t="str">
        <f>+'P4.1'!U13</f>
        <v>Presupuesto relativo</v>
      </c>
      <c r="U86" s="85" t="str">
        <f>+'P4.1'!V13</f>
        <v>Presupuesto relativo</v>
      </c>
      <c r="V86" s="63">
        <f t="shared" si="21"/>
        <v>305687316</v>
      </c>
    </row>
    <row r="87" spans="2:24" ht="42" customHeight="1" x14ac:dyDescent="0.2">
      <c r="B87" s="12" t="s">
        <v>421</v>
      </c>
      <c r="C87" s="85">
        <f>+'P4.1'!D14</f>
        <v>0</v>
      </c>
      <c r="D87" s="85">
        <f>+'P4.1'!E14</f>
        <v>0</v>
      </c>
      <c r="E87" s="85">
        <f>+'P4.1'!F14</f>
        <v>0</v>
      </c>
      <c r="F87" s="85">
        <f>+'P4.1'!G14</f>
        <v>50947886</v>
      </c>
      <c r="G87" s="85">
        <f>+'P4.1'!H14</f>
        <v>35000000000</v>
      </c>
      <c r="H87" s="85">
        <f>+'P4.1'!I14</f>
        <v>35000000000</v>
      </c>
      <c r="I87" s="85">
        <f>+'P4.1'!J14</f>
        <v>35000000000</v>
      </c>
      <c r="J87" s="85">
        <f>+'P4.1'!K14</f>
        <v>35000000000</v>
      </c>
      <c r="K87" s="85">
        <f>+'P4.1'!L14</f>
        <v>35000000000</v>
      </c>
      <c r="L87" s="85">
        <f>+'P4.1'!M14</f>
        <v>3500000000</v>
      </c>
      <c r="M87" s="85">
        <f>+'P4.1'!N14</f>
        <v>3500000000</v>
      </c>
      <c r="N87" s="85">
        <f>+'P4.1'!O14</f>
        <v>3500000000</v>
      </c>
      <c r="O87" s="85">
        <f>+'P4.1'!P14</f>
        <v>3500000000</v>
      </c>
      <c r="P87" s="85">
        <f>+'P4.1'!Q14</f>
        <v>3500000000</v>
      </c>
      <c r="Q87" s="85">
        <f>+'P4.1'!R14</f>
        <v>3500000000</v>
      </c>
      <c r="R87" s="85">
        <f>+'P4.1'!S14</f>
        <v>3500000000</v>
      </c>
      <c r="S87" s="85">
        <f>+'P4.1'!T14</f>
        <v>3500000000</v>
      </c>
      <c r="T87" s="85">
        <f>+'P4.1'!U14</f>
        <v>3500000000</v>
      </c>
      <c r="U87" s="85">
        <f>+'P4.1'!V14</f>
        <v>3500000000</v>
      </c>
      <c r="V87" s="63">
        <f t="shared" si="21"/>
        <v>210050947886</v>
      </c>
    </row>
    <row r="88" spans="2:24" ht="36" x14ac:dyDescent="0.2">
      <c r="B88" s="12" t="s">
        <v>422</v>
      </c>
      <c r="C88" s="85">
        <f>+'P4.1'!D15</f>
        <v>0</v>
      </c>
      <c r="D88" s="85">
        <f>+'P4.1'!E15</f>
        <v>0</v>
      </c>
      <c r="E88" s="85">
        <f>+'P4.1'!F15</f>
        <v>0</v>
      </c>
      <c r="F88" s="85">
        <f>+'P4.1'!G15</f>
        <v>101895772</v>
      </c>
      <c r="G88" s="85">
        <f>+'P4.1'!H15</f>
        <v>101895772</v>
      </c>
      <c r="H88" s="85" t="str">
        <f>+'P4.1'!I15</f>
        <v>Presupuesto relativo</v>
      </c>
      <c r="I88" s="85">
        <f>+'P4.1'!J15</f>
        <v>0</v>
      </c>
      <c r="J88" s="85" t="str">
        <f>+'P4.1'!K15</f>
        <v>Presupuesto relativo</v>
      </c>
      <c r="K88" s="85">
        <f>+'P4.1'!L15</f>
        <v>0</v>
      </c>
      <c r="L88" s="85" t="str">
        <f>+'P4.1'!M15</f>
        <v>Presupuesto relativo</v>
      </c>
      <c r="M88" s="85">
        <f>+'P4.1'!N15</f>
        <v>0</v>
      </c>
      <c r="N88" s="85" t="str">
        <f>+'P4.1'!O15</f>
        <v>Presupuesto relativo</v>
      </c>
      <c r="O88" s="85">
        <f>+'P4.1'!P15</f>
        <v>0</v>
      </c>
      <c r="P88" s="85" t="str">
        <f>+'P4.1'!Q15</f>
        <v>Presupuesto relativo</v>
      </c>
      <c r="Q88" s="85">
        <f>+'P4.1'!R15</f>
        <v>0</v>
      </c>
      <c r="R88" s="85" t="str">
        <f>+'P4.1'!S15</f>
        <v>Presupuesto relativo</v>
      </c>
      <c r="S88" s="85">
        <f>+'P4.1'!T15</f>
        <v>0</v>
      </c>
      <c r="T88" s="85" t="str">
        <f>+'P4.1'!U15</f>
        <v>Presupuesto relativo</v>
      </c>
      <c r="U88" s="85">
        <f>+'P4.1'!V15</f>
        <v>0</v>
      </c>
      <c r="V88" s="63">
        <f t="shared" si="21"/>
        <v>203791544</v>
      </c>
    </row>
    <row r="89" spans="2:24" ht="24.75" customHeight="1" x14ac:dyDescent="0.2">
      <c r="B89" s="12" t="s">
        <v>423</v>
      </c>
      <c r="C89" s="85">
        <f>+'P4.1'!D16</f>
        <v>0</v>
      </c>
      <c r="D89" s="85">
        <f>+'P4.1'!E16</f>
        <v>0</v>
      </c>
      <c r="E89" s="85">
        <f>+'P4.1'!F16</f>
        <v>50947886</v>
      </c>
      <c r="F89" s="85">
        <f>+'P4.1'!G16</f>
        <v>50947886</v>
      </c>
      <c r="G89" s="85">
        <f>+'P4.1'!H16</f>
        <v>50947886</v>
      </c>
      <c r="H89" s="85" t="str">
        <f>+'P4.1'!I16</f>
        <v>Presupuesto relativo</v>
      </c>
      <c r="I89" s="85" t="str">
        <f>+'P4.1'!J16</f>
        <v>Presupuesto relativo</v>
      </c>
      <c r="J89" s="85" t="str">
        <f>+'P4.1'!K16</f>
        <v>Presupuesto relativo</v>
      </c>
      <c r="K89" s="85" t="str">
        <f>+'P4.1'!L16</f>
        <v>Presupuesto relativo</v>
      </c>
      <c r="L89" s="85" t="str">
        <f>+'P4.1'!M16</f>
        <v>Presupuesto relativo</v>
      </c>
      <c r="M89" s="85" t="str">
        <f>+'P4.1'!N16</f>
        <v>Presupuesto relativo</v>
      </c>
      <c r="N89" s="85" t="str">
        <f>+'P4.1'!O16</f>
        <v>Presupuesto relativo</v>
      </c>
      <c r="O89" s="85" t="str">
        <f>+'P4.1'!P16</f>
        <v>Presupuesto relativo</v>
      </c>
      <c r="P89" s="85" t="str">
        <f>+'P4.1'!Q16</f>
        <v>Presupuesto relativo</v>
      </c>
      <c r="Q89" s="85" t="str">
        <f>+'P4.1'!R16</f>
        <v>Presupuesto relativo</v>
      </c>
      <c r="R89" s="85" t="str">
        <f>+'P4.1'!S16</f>
        <v>Presupuesto relativo</v>
      </c>
      <c r="S89" s="85" t="str">
        <f>+'P4.1'!T16</f>
        <v>Presupuesto relativo</v>
      </c>
      <c r="T89" s="85" t="str">
        <f>+'P4.1'!U16</f>
        <v>Presupuesto relativo</v>
      </c>
      <c r="U89" s="85" t="str">
        <f>+'P4.1'!V16</f>
        <v>Presupuesto relativo</v>
      </c>
      <c r="V89" s="63">
        <f t="shared" si="21"/>
        <v>152843658</v>
      </c>
    </row>
    <row r="90" spans="2:24" s="88" customFormat="1" ht="17.25" customHeight="1" x14ac:dyDescent="0.2">
      <c r="B90" s="9" t="s">
        <v>16</v>
      </c>
      <c r="C90" s="65">
        <f t="shared" ref="C90:U90" si="22">SUM(C91:C94)</f>
        <v>0</v>
      </c>
      <c r="D90" s="65">
        <f t="shared" si="22"/>
        <v>0</v>
      </c>
      <c r="E90" s="65">
        <f t="shared" si="22"/>
        <v>0</v>
      </c>
      <c r="F90" s="65">
        <f t="shared" si="22"/>
        <v>49629938.75</v>
      </c>
      <c r="G90" s="65">
        <f t="shared" si="22"/>
        <v>206539261</v>
      </c>
      <c r="H90" s="65">
        <f t="shared" si="22"/>
        <v>206539261</v>
      </c>
      <c r="I90" s="65">
        <f t="shared" si="22"/>
        <v>156909322.25</v>
      </c>
      <c r="J90" s="65">
        <f t="shared" si="22"/>
        <v>156909322.25</v>
      </c>
      <c r="K90" s="65">
        <f t="shared" si="22"/>
        <v>0</v>
      </c>
      <c r="L90" s="65">
        <f t="shared" si="22"/>
        <v>0</v>
      </c>
      <c r="M90" s="65">
        <f t="shared" si="22"/>
        <v>0</v>
      </c>
      <c r="N90" s="65">
        <f t="shared" si="22"/>
        <v>0</v>
      </c>
      <c r="O90" s="65">
        <f t="shared" si="22"/>
        <v>0</v>
      </c>
      <c r="P90" s="65">
        <f t="shared" si="22"/>
        <v>0</v>
      </c>
      <c r="Q90" s="65">
        <f t="shared" si="22"/>
        <v>0</v>
      </c>
      <c r="R90" s="65">
        <f t="shared" si="22"/>
        <v>0</v>
      </c>
      <c r="S90" s="65">
        <f t="shared" si="22"/>
        <v>0</v>
      </c>
      <c r="T90" s="65">
        <f t="shared" si="22"/>
        <v>156909322.25</v>
      </c>
      <c r="U90" s="65">
        <f t="shared" si="22"/>
        <v>0</v>
      </c>
      <c r="V90" s="65">
        <f>SUM(V91:V94)</f>
        <v>933436427.5</v>
      </c>
    </row>
    <row r="91" spans="2:24" ht="36" x14ac:dyDescent="0.2">
      <c r="B91" s="12" t="s">
        <v>435</v>
      </c>
      <c r="C91" s="85">
        <f>+'P4.2'!D8</f>
        <v>0</v>
      </c>
      <c r="D91" s="85">
        <f>+'P4.2'!E8</f>
        <v>0</v>
      </c>
      <c r="E91" s="85">
        <f>+'P4.2'!F8</f>
        <v>0</v>
      </c>
      <c r="F91" s="85">
        <f>+'P4.2'!G8</f>
        <v>49629938.75</v>
      </c>
      <c r="G91" s="85">
        <f>+'P4.2'!H8</f>
        <v>49629938.75</v>
      </c>
      <c r="H91" s="85">
        <f>+'P4.2'!I8</f>
        <v>49629938.75</v>
      </c>
      <c r="I91" s="85" t="str">
        <f>+'P4.2'!J8</f>
        <v>Presupuesto relativo</v>
      </c>
      <c r="J91" s="85" t="str">
        <f>+'P4.2'!K8</f>
        <v>Presupuesto relativo</v>
      </c>
      <c r="K91" s="85" t="str">
        <f>+'P4.2'!L8</f>
        <v>Presupuesto relativo</v>
      </c>
      <c r="L91" s="85" t="str">
        <f>+'P4.2'!M8</f>
        <v>Presupuesto relativo</v>
      </c>
      <c r="M91" s="85" t="str">
        <f>+'P4.2'!N8</f>
        <v>Presupuesto relativo</v>
      </c>
      <c r="N91" s="85" t="str">
        <f>+'P4.2'!O8</f>
        <v>Presupuesto relativo</v>
      </c>
      <c r="O91" s="85" t="str">
        <f>+'P4.2'!P8</f>
        <v>Presupuesto relativo</v>
      </c>
      <c r="P91" s="85" t="str">
        <f>+'P4.2'!Q8</f>
        <v>Presupuesto relativo</v>
      </c>
      <c r="Q91" s="85" t="str">
        <f>+'P4.2'!R8</f>
        <v>Presupuesto relativo</v>
      </c>
      <c r="R91" s="85" t="str">
        <f>+'P4.2'!S8</f>
        <v>Presupuesto relativo</v>
      </c>
      <c r="S91" s="85" t="str">
        <f>+'P4.2'!T8</f>
        <v>Presupuesto relativo</v>
      </c>
      <c r="T91" s="85" t="str">
        <f>+'P4.2'!U8</f>
        <v>Presupuesto relativo</v>
      </c>
      <c r="U91" s="85" t="str">
        <f>+'P4.2'!V8</f>
        <v>Presupuesto relativo</v>
      </c>
      <c r="V91" s="63">
        <f>SUM(C91:U91)</f>
        <v>148889816.25</v>
      </c>
    </row>
    <row r="92" spans="2:24" ht="36" x14ac:dyDescent="0.2">
      <c r="B92" s="12" t="s">
        <v>540</v>
      </c>
      <c r="C92" s="85">
        <f>+'P4.2'!D9</f>
        <v>0</v>
      </c>
      <c r="D92" s="85">
        <f>+'P4.2'!E9</f>
        <v>0</v>
      </c>
      <c r="E92" s="85">
        <f>+'P4.2'!F9</f>
        <v>0</v>
      </c>
      <c r="F92" s="85">
        <f>+'P4.2'!G9</f>
        <v>0</v>
      </c>
      <c r="G92" s="85">
        <f>+'P4.2'!H9</f>
        <v>31649444.75</v>
      </c>
      <c r="H92" s="85">
        <f>+'P4.2'!I9</f>
        <v>31649444.75</v>
      </c>
      <c r="I92" s="85">
        <f>+'P4.2'!J9</f>
        <v>31649444.75</v>
      </c>
      <c r="J92" s="85">
        <f>+'P4.2'!K9</f>
        <v>31649444.75</v>
      </c>
      <c r="K92" s="85">
        <f>+'P4.2'!L9</f>
        <v>0</v>
      </c>
      <c r="L92" s="85">
        <f>+'P4.2'!M9</f>
        <v>0</v>
      </c>
      <c r="M92" s="85">
        <f>+'P4.2'!N9</f>
        <v>0</v>
      </c>
      <c r="N92" s="85">
        <f>+'P4.2'!O9</f>
        <v>0</v>
      </c>
      <c r="O92" s="85">
        <f>+'P4.2'!P9</f>
        <v>0</v>
      </c>
      <c r="P92" s="85">
        <f>+'P4.2'!Q9</f>
        <v>0</v>
      </c>
      <c r="Q92" s="85">
        <f>+'P4.2'!R9</f>
        <v>0</v>
      </c>
      <c r="R92" s="85">
        <f>+'P4.2'!S9</f>
        <v>0</v>
      </c>
      <c r="S92" s="85">
        <f>+'P4.2'!T9</f>
        <v>0</v>
      </c>
      <c r="T92" s="85">
        <f>+'P4.2'!U9</f>
        <v>31649444.75</v>
      </c>
      <c r="U92" s="85">
        <f>+'P4.2'!V9</f>
        <v>0</v>
      </c>
      <c r="V92" s="63">
        <f>SUM(C92:U92)</f>
        <v>158247223.75</v>
      </c>
    </row>
    <row r="93" spans="2:24" ht="27.75" customHeight="1" x14ac:dyDescent="0.2">
      <c r="B93" s="12" t="s">
        <v>436</v>
      </c>
      <c r="C93" s="85">
        <f>+'P4.2'!D10</f>
        <v>0</v>
      </c>
      <c r="D93" s="85">
        <f>+'P4.2'!E10</f>
        <v>0</v>
      </c>
      <c r="E93" s="85">
        <f>+'P4.2'!F10</f>
        <v>0</v>
      </c>
      <c r="F93" s="85">
        <f>+'P4.2'!G10</f>
        <v>0</v>
      </c>
      <c r="G93" s="85">
        <f>+'P4.2'!H10</f>
        <v>75629938.75</v>
      </c>
      <c r="H93" s="85">
        <f>+'P4.2'!I10</f>
        <v>75629938.75</v>
      </c>
      <c r="I93" s="85">
        <f>+'P4.2'!J10</f>
        <v>75629938.75</v>
      </c>
      <c r="J93" s="85">
        <f>+'P4.2'!K10</f>
        <v>75629938.75</v>
      </c>
      <c r="K93" s="85">
        <f>+'P4.2'!L10</f>
        <v>0</v>
      </c>
      <c r="L93" s="85">
        <f>+'P4.2'!M10</f>
        <v>0</v>
      </c>
      <c r="M93" s="85">
        <f>+'P4.2'!N10</f>
        <v>0</v>
      </c>
      <c r="N93" s="85">
        <f>+'P4.2'!O10</f>
        <v>0</v>
      </c>
      <c r="O93" s="85">
        <f>+'P4.2'!P10</f>
        <v>0</v>
      </c>
      <c r="P93" s="85">
        <f>+'P4.2'!Q10</f>
        <v>0</v>
      </c>
      <c r="Q93" s="85">
        <f>+'P4.2'!R10</f>
        <v>0</v>
      </c>
      <c r="R93" s="85">
        <f>+'P4.2'!S10</f>
        <v>0</v>
      </c>
      <c r="S93" s="85">
        <f>+'P4.2'!T10</f>
        <v>0</v>
      </c>
      <c r="T93" s="85">
        <f>+'P4.2'!U10</f>
        <v>75629938.75</v>
      </c>
      <c r="U93" s="85">
        <f>+'P4.2'!V10</f>
        <v>0</v>
      </c>
      <c r="V93" s="63">
        <f>SUM(C93:U93)</f>
        <v>378149693.75</v>
      </c>
    </row>
    <row r="94" spans="2:24" ht="49.5" customHeight="1" x14ac:dyDescent="0.2">
      <c r="B94" s="12" t="s">
        <v>434</v>
      </c>
      <c r="C94" s="85">
        <f>+'P4.2'!D11</f>
        <v>0</v>
      </c>
      <c r="D94" s="85">
        <f>+'P4.2'!E11</f>
        <v>0</v>
      </c>
      <c r="E94" s="85">
        <f>+'P4.2'!F11</f>
        <v>0</v>
      </c>
      <c r="F94" s="85">
        <f>+'P4.2'!G11</f>
        <v>0</v>
      </c>
      <c r="G94" s="85">
        <f>+'P4.2'!H11</f>
        <v>49629938.75</v>
      </c>
      <c r="H94" s="85">
        <f>+'P4.2'!I11</f>
        <v>49629938.75</v>
      </c>
      <c r="I94" s="85">
        <f>+'P4.2'!J11</f>
        <v>49629938.75</v>
      </c>
      <c r="J94" s="85">
        <f>+'P4.2'!K11</f>
        <v>49629938.75</v>
      </c>
      <c r="K94" s="85">
        <f>+'P4.2'!L11</f>
        <v>0</v>
      </c>
      <c r="L94" s="85">
        <f>+'P4.2'!M11</f>
        <v>0</v>
      </c>
      <c r="M94" s="85">
        <f>+'P4.2'!N11</f>
        <v>0</v>
      </c>
      <c r="N94" s="85">
        <f>+'P4.2'!O11</f>
        <v>0</v>
      </c>
      <c r="O94" s="85">
        <f>+'P4.2'!P11</f>
        <v>0</v>
      </c>
      <c r="P94" s="85">
        <f>+'P4.2'!Q11</f>
        <v>0</v>
      </c>
      <c r="Q94" s="85">
        <f>+'P4.2'!R11</f>
        <v>0</v>
      </c>
      <c r="R94" s="85">
        <f>+'P4.2'!S11</f>
        <v>0</v>
      </c>
      <c r="S94" s="85">
        <f>+'P4.2'!T11</f>
        <v>0</v>
      </c>
      <c r="T94" s="85">
        <f>+'P4.2'!U11</f>
        <v>49629938.75</v>
      </c>
      <c r="U94" s="85">
        <f>+'P4.2'!V11</f>
        <v>0</v>
      </c>
      <c r="V94" s="63">
        <f>SUM(C94:U94)</f>
        <v>248149693.75</v>
      </c>
    </row>
    <row r="95" spans="2:24" s="89" customFormat="1" ht="15.75" customHeight="1" x14ac:dyDescent="0.25">
      <c r="B95" s="8" t="s">
        <v>17</v>
      </c>
      <c r="C95" s="179">
        <f>+C96+C100</f>
        <v>0</v>
      </c>
      <c r="D95" s="179">
        <f t="shared" ref="D95:U95" si="23">+D96+D100</f>
        <v>708124488</v>
      </c>
      <c r="E95" s="179">
        <f t="shared" si="23"/>
        <v>1041131391</v>
      </c>
      <c r="F95" s="179">
        <f t="shared" si="23"/>
        <v>1041131391</v>
      </c>
      <c r="G95" s="179">
        <f t="shared" si="23"/>
        <v>555569804</v>
      </c>
      <c r="H95" s="179">
        <f t="shared" si="23"/>
        <v>555569804</v>
      </c>
      <c r="I95" s="179">
        <f t="shared" si="23"/>
        <v>555569804</v>
      </c>
      <c r="J95" s="179">
        <f t="shared" si="23"/>
        <v>555569804</v>
      </c>
      <c r="K95" s="179">
        <f t="shared" si="23"/>
        <v>555569804</v>
      </c>
      <c r="L95" s="179">
        <f t="shared" si="23"/>
        <v>555569804</v>
      </c>
      <c r="M95" s="179">
        <f t="shared" si="23"/>
        <v>555569804</v>
      </c>
      <c r="N95" s="179">
        <f t="shared" si="23"/>
        <v>555569804</v>
      </c>
      <c r="O95" s="179">
        <f t="shared" si="23"/>
        <v>555569804</v>
      </c>
      <c r="P95" s="179">
        <f t="shared" si="23"/>
        <v>555569804</v>
      </c>
      <c r="Q95" s="179">
        <f t="shared" si="23"/>
        <v>555569804</v>
      </c>
      <c r="R95" s="179">
        <f t="shared" si="23"/>
        <v>555569804</v>
      </c>
      <c r="S95" s="179">
        <f t="shared" si="23"/>
        <v>555569804</v>
      </c>
      <c r="T95" s="179">
        <f t="shared" si="23"/>
        <v>555569804</v>
      </c>
      <c r="U95" s="179">
        <f t="shared" si="23"/>
        <v>555569804</v>
      </c>
      <c r="V95" s="179">
        <f>+V96+V100</f>
        <v>11123934330</v>
      </c>
      <c r="W95" s="238">
        <f>SUM(C95:U95)</f>
        <v>11123934330</v>
      </c>
      <c r="X95" s="237">
        <f>+V95-W95</f>
        <v>0</v>
      </c>
    </row>
    <row r="96" spans="2:24" s="89" customFormat="1" ht="15.75" customHeight="1" x14ac:dyDescent="0.25">
      <c r="B96" s="9" t="s">
        <v>18</v>
      </c>
      <c r="C96" s="65">
        <f t="shared" ref="C96:U96" si="24">SUM(C97:C99)</f>
        <v>0</v>
      </c>
      <c r="D96" s="65">
        <f t="shared" si="24"/>
        <v>0</v>
      </c>
      <c r="E96" s="65">
        <f t="shared" si="24"/>
        <v>333006903</v>
      </c>
      <c r="F96" s="65">
        <f t="shared" si="24"/>
        <v>333006903</v>
      </c>
      <c r="G96" s="65">
        <f t="shared" si="24"/>
        <v>0</v>
      </c>
      <c r="H96" s="65">
        <f t="shared" si="24"/>
        <v>0</v>
      </c>
      <c r="I96" s="65">
        <f t="shared" si="24"/>
        <v>0</v>
      </c>
      <c r="J96" s="65">
        <f t="shared" si="24"/>
        <v>0</v>
      </c>
      <c r="K96" s="65">
        <f t="shared" si="24"/>
        <v>0</v>
      </c>
      <c r="L96" s="65">
        <f t="shared" si="24"/>
        <v>0</v>
      </c>
      <c r="M96" s="65">
        <f t="shared" si="24"/>
        <v>0</v>
      </c>
      <c r="N96" s="65">
        <f t="shared" si="24"/>
        <v>0</v>
      </c>
      <c r="O96" s="65">
        <f t="shared" si="24"/>
        <v>0</v>
      </c>
      <c r="P96" s="65">
        <f t="shared" si="24"/>
        <v>0</v>
      </c>
      <c r="Q96" s="65">
        <f t="shared" si="24"/>
        <v>0</v>
      </c>
      <c r="R96" s="65">
        <f t="shared" si="24"/>
        <v>0</v>
      </c>
      <c r="S96" s="65">
        <f t="shared" si="24"/>
        <v>0</v>
      </c>
      <c r="T96" s="65">
        <f t="shared" si="24"/>
        <v>0</v>
      </c>
      <c r="U96" s="65">
        <f t="shared" si="24"/>
        <v>0</v>
      </c>
      <c r="V96" s="65">
        <f>SUM(V97:V99)</f>
        <v>666013806</v>
      </c>
    </row>
    <row r="97" spans="2:24" ht="24" x14ac:dyDescent="0.2">
      <c r="B97" s="12" t="s">
        <v>439</v>
      </c>
      <c r="C97" s="85">
        <f>+'P5.1'!D8</f>
        <v>0</v>
      </c>
      <c r="D97" s="85">
        <f>+'P5.1'!E8</f>
        <v>0</v>
      </c>
      <c r="E97" s="85">
        <f>+'P5.1'!F8</f>
        <v>158112712.59999999</v>
      </c>
      <c r="F97" s="85">
        <f>+'P5.1'!G8</f>
        <v>158112712.59999999</v>
      </c>
      <c r="G97" s="85" t="str">
        <f>+'P5.1'!H8</f>
        <v>Presupuesto relativo</v>
      </c>
      <c r="H97" s="85" t="str">
        <f>+'P5.1'!I8</f>
        <v>Presupuesto relativo</v>
      </c>
      <c r="I97" s="85" t="str">
        <f>+'P5.1'!J8</f>
        <v>Presupuesto relativo</v>
      </c>
      <c r="J97" s="85" t="str">
        <f>+'P5.1'!K8</f>
        <v>Presupuesto relativo</v>
      </c>
      <c r="K97" s="85" t="str">
        <f>+'P5.1'!L8</f>
        <v>Presupuesto relativo</v>
      </c>
      <c r="L97" s="85" t="str">
        <f>+'P5.1'!M8</f>
        <v>Presupuesto relativo</v>
      </c>
      <c r="M97" s="85" t="str">
        <f>+'P5.1'!N8</f>
        <v>Presupuesto relativo</v>
      </c>
      <c r="N97" s="85" t="str">
        <f>+'P5.1'!O8</f>
        <v>Presupuesto relativo</v>
      </c>
      <c r="O97" s="85" t="str">
        <f>+'P5.1'!P8</f>
        <v>Presupuesto relativo</v>
      </c>
      <c r="P97" s="85" t="str">
        <f>+'P5.1'!Q8</f>
        <v>Presupuesto relativo</v>
      </c>
      <c r="Q97" s="85">
        <f>+'P5.1'!R8</f>
        <v>0</v>
      </c>
      <c r="R97" s="85">
        <f>+'P5.1'!S8</f>
        <v>0</v>
      </c>
      <c r="S97" s="85">
        <f>+'P5.1'!T8</f>
        <v>0</v>
      </c>
      <c r="T97" s="85">
        <f>+'P5.1'!U8</f>
        <v>0</v>
      </c>
      <c r="U97" s="85">
        <f>+'P5.1'!V8</f>
        <v>0</v>
      </c>
      <c r="V97" s="63">
        <f>SUM(C97:U97)</f>
        <v>316225425.19999999</v>
      </c>
    </row>
    <row r="98" spans="2:24" ht="24" x14ac:dyDescent="0.2">
      <c r="B98" s="12" t="s">
        <v>440</v>
      </c>
      <c r="C98" s="85">
        <f>+'P5.1'!D9</f>
        <v>0</v>
      </c>
      <c r="D98" s="85">
        <f>+'P5.1'!E9</f>
        <v>0</v>
      </c>
      <c r="E98" s="85">
        <f>+'P5.1'!F9</f>
        <v>119603579.59999999</v>
      </c>
      <c r="F98" s="85">
        <f>+'P5.1'!G9</f>
        <v>119603579.59999999</v>
      </c>
      <c r="G98" s="85" t="str">
        <f>+'P5.1'!H9</f>
        <v>Presupuesto relativo</v>
      </c>
      <c r="H98" s="85" t="str">
        <f>+'P5.1'!I9</f>
        <v>Presupuesto relativo</v>
      </c>
      <c r="I98" s="85" t="str">
        <f>+'P5.1'!J9</f>
        <v>Presupuesto relativo</v>
      </c>
      <c r="J98" s="85" t="str">
        <f>+'P5.1'!K9</f>
        <v>Presupuesto relativo</v>
      </c>
      <c r="K98" s="85" t="str">
        <f>+'P5.1'!L9</f>
        <v>Presupuesto relativo</v>
      </c>
      <c r="L98" s="85" t="str">
        <f>+'P5.1'!M9</f>
        <v>Presupuesto relativo</v>
      </c>
      <c r="M98" s="85" t="str">
        <f>+'P5.1'!N9</f>
        <v>Presupuesto relativo</v>
      </c>
      <c r="N98" s="85" t="str">
        <f>+'P5.1'!O9</f>
        <v>Presupuesto relativo</v>
      </c>
      <c r="O98" s="85" t="str">
        <f>+'P5.1'!P9</f>
        <v>Presupuesto relativo</v>
      </c>
      <c r="P98" s="85" t="str">
        <f>+'P5.1'!Q9</f>
        <v>Presupuesto relativo</v>
      </c>
      <c r="Q98" s="85" t="str">
        <f>+'P5.1'!R9</f>
        <v>Presupuesto relativo</v>
      </c>
      <c r="R98" s="85" t="str">
        <f>+'P5.1'!S9</f>
        <v>Presupuesto relativo</v>
      </c>
      <c r="S98" s="85" t="str">
        <f>+'P5.1'!T9</f>
        <v>Presupuesto relativo</v>
      </c>
      <c r="T98" s="85" t="str">
        <f>+'P5.1'!U9</f>
        <v>Presupuesto relativo</v>
      </c>
      <c r="U98" s="85" t="str">
        <f>+'P5.1'!V9</f>
        <v>Presupuesto relativo</v>
      </c>
      <c r="V98" s="63">
        <f>SUM(C98:U98)</f>
        <v>239207159.19999999</v>
      </c>
    </row>
    <row r="99" spans="2:24" ht="30.75" customHeight="1" x14ac:dyDescent="0.2">
      <c r="B99" s="12" t="s">
        <v>441</v>
      </c>
      <c r="C99" s="85">
        <f>+'P5.1'!D10</f>
        <v>0</v>
      </c>
      <c r="D99" s="85">
        <f>+'P5.1'!E10</f>
        <v>0</v>
      </c>
      <c r="E99" s="85">
        <f>+'P5.1'!F10</f>
        <v>55290610.799999997</v>
      </c>
      <c r="F99" s="85">
        <f>+'P5.1'!G10</f>
        <v>55290610.799999997</v>
      </c>
      <c r="G99" s="85" t="str">
        <f>+'P5.1'!H10</f>
        <v>Presupuesto relativo</v>
      </c>
      <c r="H99" s="85" t="str">
        <f>+'P5.1'!I10</f>
        <v>Presupuesto relativo</v>
      </c>
      <c r="I99" s="85" t="str">
        <f>+'P5.1'!J10</f>
        <v>Presupuesto relativo</v>
      </c>
      <c r="J99" s="85" t="str">
        <f>+'P5.1'!K10</f>
        <v>Presupuesto relativo</v>
      </c>
      <c r="K99" s="85" t="str">
        <f>+'P5.1'!L10</f>
        <v>Presupuesto relativo</v>
      </c>
      <c r="L99" s="85" t="str">
        <f>+'P5.1'!M10</f>
        <v>Presupuesto relativo</v>
      </c>
      <c r="M99" s="85" t="str">
        <f>+'P5.1'!N10</f>
        <v>Presupuesto relativo</v>
      </c>
      <c r="N99" s="85" t="str">
        <f>+'P5.1'!O10</f>
        <v>Presupuesto relativo</v>
      </c>
      <c r="O99" s="85" t="str">
        <f>+'P5.1'!P10</f>
        <v>Presupuesto relativo</v>
      </c>
      <c r="P99" s="85" t="str">
        <f>+'P5.1'!Q10</f>
        <v>Presupuesto relativo</v>
      </c>
      <c r="Q99" s="85" t="str">
        <f>+'P5.1'!R10</f>
        <v>Presupuesto relativo</v>
      </c>
      <c r="R99" s="85" t="str">
        <f>+'P5.1'!S10</f>
        <v>Presupuesto relativo</v>
      </c>
      <c r="S99" s="85" t="str">
        <f>+'P5.1'!T10</f>
        <v>Presupuesto relativo</v>
      </c>
      <c r="T99" s="85" t="str">
        <f>+'P5.1'!U10</f>
        <v>Presupuesto relativo</v>
      </c>
      <c r="U99" s="85" t="str">
        <f>+'P5.1'!V10</f>
        <v>Presupuesto relativo</v>
      </c>
      <c r="V99" s="63">
        <f>SUM(C99:U99)</f>
        <v>110581221.59999999</v>
      </c>
    </row>
    <row r="100" spans="2:24" s="88" customFormat="1" ht="23.25" customHeight="1" x14ac:dyDescent="0.2">
      <c r="B100" s="9" t="s">
        <v>19</v>
      </c>
      <c r="C100" s="65">
        <f t="shared" ref="C100:U100" si="25">SUM(C101:C102)</f>
        <v>0</v>
      </c>
      <c r="D100" s="65">
        <f t="shared" si="25"/>
        <v>708124488</v>
      </c>
      <c r="E100" s="65">
        <f t="shared" si="25"/>
        <v>708124488</v>
      </c>
      <c r="F100" s="65">
        <f t="shared" si="25"/>
        <v>708124488</v>
      </c>
      <c r="G100" s="65">
        <f t="shared" si="25"/>
        <v>555569804</v>
      </c>
      <c r="H100" s="65">
        <f t="shared" si="25"/>
        <v>555569804</v>
      </c>
      <c r="I100" s="65">
        <f t="shared" si="25"/>
        <v>555569804</v>
      </c>
      <c r="J100" s="65">
        <f t="shared" si="25"/>
        <v>555569804</v>
      </c>
      <c r="K100" s="65">
        <f t="shared" si="25"/>
        <v>555569804</v>
      </c>
      <c r="L100" s="65">
        <f t="shared" si="25"/>
        <v>555569804</v>
      </c>
      <c r="M100" s="65">
        <f t="shared" si="25"/>
        <v>555569804</v>
      </c>
      <c r="N100" s="65">
        <f t="shared" si="25"/>
        <v>555569804</v>
      </c>
      <c r="O100" s="65">
        <f t="shared" si="25"/>
        <v>555569804</v>
      </c>
      <c r="P100" s="65">
        <f t="shared" si="25"/>
        <v>555569804</v>
      </c>
      <c r="Q100" s="65">
        <f t="shared" si="25"/>
        <v>555569804</v>
      </c>
      <c r="R100" s="65">
        <f t="shared" si="25"/>
        <v>555569804</v>
      </c>
      <c r="S100" s="65">
        <f t="shared" si="25"/>
        <v>555569804</v>
      </c>
      <c r="T100" s="65">
        <f t="shared" si="25"/>
        <v>555569804</v>
      </c>
      <c r="U100" s="65">
        <f t="shared" si="25"/>
        <v>555569804</v>
      </c>
      <c r="V100" s="65">
        <f>SUM(V101:V102)</f>
        <v>10457920524</v>
      </c>
    </row>
    <row r="101" spans="2:24" ht="24" x14ac:dyDescent="0.2">
      <c r="B101" s="12" t="s">
        <v>730</v>
      </c>
      <c r="C101" s="85">
        <f>+'P5.2'!D8</f>
        <v>0</v>
      </c>
      <c r="D101" s="85">
        <f>+'P5.2'!E8</f>
        <v>152554684</v>
      </c>
      <c r="E101" s="85">
        <f>+'P5.2'!F8</f>
        <v>152554684</v>
      </c>
      <c r="F101" s="85">
        <f>+'P5.2'!G8</f>
        <v>152554684</v>
      </c>
      <c r="G101" s="85" t="str">
        <f>+'P5.2'!H8</f>
        <v>Presupuesto relativo</v>
      </c>
      <c r="H101" s="85" t="str">
        <f>+'P5.2'!I8</f>
        <v>Presupuesto relativo</v>
      </c>
      <c r="I101" s="85" t="str">
        <f>+'P5.2'!J8</f>
        <v>Presupuesto relativo</v>
      </c>
      <c r="J101" s="85" t="str">
        <f>+'P5.2'!K8</f>
        <v>Presupuesto relativo</v>
      </c>
      <c r="K101" s="85" t="str">
        <f>+'P5.2'!L8</f>
        <v>Presupuesto relativo</v>
      </c>
      <c r="L101" s="85" t="str">
        <f>+'P5.2'!M8</f>
        <v>Presupuesto relativo</v>
      </c>
      <c r="M101" s="85" t="str">
        <f>+'P5.2'!N8</f>
        <v>Presupuesto relativo</v>
      </c>
      <c r="N101" s="85" t="str">
        <f>+'P5.2'!O8</f>
        <v>Presupuesto relativo</v>
      </c>
      <c r="O101" s="85" t="str">
        <f>+'P5.2'!P8</f>
        <v>Presupuesto relativo</v>
      </c>
      <c r="P101" s="85" t="str">
        <f>+'P5.2'!Q8</f>
        <v>Presupuesto relativo</v>
      </c>
      <c r="Q101" s="85" t="str">
        <f>+'P5.2'!R8</f>
        <v>Presupuesto relativo</v>
      </c>
      <c r="R101" s="85" t="str">
        <f>+'P5.2'!S8</f>
        <v>Presupuesto relativo</v>
      </c>
      <c r="S101" s="85" t="str">
        <f>+'P5.2'!T8</f>
        <v>Presupuesto relativo</v>
      </c>
      <c r="T101" s="85" t="str">
        <f>+'P5.2'!U8</f>
        <v>Presupuesto relativo</v>
      </c>
      <c r="U101" s="85" t="str">
        <f>+'P5.2'!V8</f>
        <v>Presupuesto relativo</v>
      </c>
      <c r="V101" s="63">
        <f>SUM(C101:U101)</f>
        <v>457664052</v>
      </c>
    </row>
    <row r="102" spans="2:24" x14ac:dyDescent="0.2">
      <c r="B102" s="12" t="s">
        <v>446</v>
      </c>
      <c r="C102" s="85">
        <f>+'P5.2'!D9</f>
        <v>0</v>
      </c>
      <c r="D102" s="85">
        <f>+'P5.2'!E9</f>
        <v>555569804</v>
      </c>
      <c r="E102" s="85">
        <f>+'P5.2'!F9</f>
        <v>555569804</v>
      </c>
      <c r="F102" s="85">
        <f>+'P5.2'!G9</f>
        <v>555569804</v>
      </c>
      <c r="G102" s="85">
        <f>+'P5.2'!H9</f>
        <v>555569804</v>
      </c>
      <c r="H102" s="85">
        <f>+'P5.2'!I9</f>
        <v>555569804</v>
      </c>
      <c r="I102" s="85">
        <f>+'P5.2'!J9</f>
        <v>555569804</v>
      </c>
      <c r="J102" s="85">
        <f>+'P5.2'!K9</f>
        <v>555569804</v>
      </c>
      <c r="K102" s="85">
        <f>+'P5.2'!L9</f>
        <v>555569804</v>
      </c>
      <c r="L102" s="85">
        <f>+'P5.2'!M9</f>
        <v>555569804</v>
      </c>
      <c r="M102" s="85">
        <f>+'P5.2'!N9</f>
        <v>555569804</v>
      </c>
      <c r="N102" s="85">
        <f>+'P5.2'!O9</f>
        <v>555569804</v>
      </c>
      <c r="O102" s="85">
        <f>+'P5.2'!P9</f>
        <v>555569804</v>
      </c>
      <c r="P102" s="85">
        <f>+'P5.2'!Q9</f>
        <v>555569804</v>
      </c>
      <c r="Q102" s="85">
        <f>+'P5.2'!R9</f>
        <v>555569804</v>
      </c>
      <c r="R102" s="85">
        <f>+'P5.2'!S9</f>
        <v>555569804</v>
      </c>
      <c r="S102" s="85">
        <f>+'P5.2'!T9</f>
        <v>555569804</v>
      </c>
      <c r="T102" s="85">
        <f>+'P5.2'!U9</f>
        <v>555569804</v>
      </c>
      <c r="U102" s="85">
        <f>+'P5.2'!V9</f>
        <v>555569804</v>
      </c>
      <c r="V102" s="63">
        <f>SUM(C102:U102)</f>
        <v>10000256472</v>
      </c>
    </row>
    <row r="103" spans="2:24" s="89" customFormat="1" ht="15" customHeight="1" x14ac:dyDescent="0.25">
      <c r="B103" s="8" t="s">
        <v>20</v>
      </c>
      <c r="C103" s="179">
        <f>+C104+C110</f>
        <v>0</v>
      </c>
      <c r="D103" s="179">
        <f t="shared" ref="D103:U103" si="26">+D104+D110</f>
        <v>360550167.10000002</v>
      </c>
      <c r="E103" s="179">
        <f t="shared" si="26"/>
        <v>360550167.10000002</v>
      </c>
      <c r="F103" s="179">
        <f t="shared" si="26"/>
        <v>328406372.19999999</v>
      </c>
      <c r="G103" s="179">
        <f t="shared" si="26"/>
        <v>58907964620.699997</v>
      </c>
      <c r="H103" s="179">
        <f t="shared" si="26"/>
        <v>37631122750.199997</v>
      </c>
      <c r="I103" s="179">
        <f t="shared" si="26"/>
        <v>31241122750.200001</v>
      </c>
      <c r="J103" s="179">
        <f t="shared" si="26"/>
        <v>191506827157.5</v>
      </c>
      <c r="K103" s="179">
        <f t="shared" si="26"/>
        <v>73606837632</v>
      </c>
      <c r="L103" s="179">
        <f t="shared" si="26"/>
        <v>356837632</v>
      </c>
      <c r="M103" s="179">
        <f t="shared" si="26"/>
        <v>536809526.10000002</v>
      </c>
      <c r="N103" s="179">
        <f t="shared" si="26"/>
        <v>536809526.10000002</v>
      </c>
      <c r="O103" s="179">
        <f t="shared" si="26"/>
        <v>417975095.19999999</v>
      </c>
      <c r="P103" s="179">
        <f t="shared" si="26"/>
        <v>300695711.69999999</v>
      </c>
      <c r="Q103" s="179">
        <f t="shared" si="26"/>
        <v>323853841.19999999</v>
      </c>
      <c r="R103" s="179">
        <f t="shared" si="26"/>
        <v>84295592.699999988</v>
      </c>
      <c r="S103" s="179">
        <f t="shared" si="26"/>
        <v>0</v>
      </c>
      <c r="T103" s="179">
        <f t="shared" si="26"/>
        <v>0</v>
      </c>
      <c r="U103" s="179">
        <f t="shared" si="26"/>
        <v>0</v>
      </c>
      <c r="V103" s="179">
        <f>+V104+V110</f>
        <v>396500658542</v>
      </c>
      <c r="W103" s="238">
        <f>SUM(C103:U103)</f>
        <v>396500658542</v>
      </c>
      <c r="X103" s="237">
        <f>+V103-W103</f>
        <v>0</v>
      </c>
    </row>
    <row r="104" spans="2:24" s="89" customFormat="1" ht="24" x14ac:dyDescent="0.25">
      <c r="B104" s="9" t="s">
        <v>21</v>
      </c>
      <c r="C104" s="65">
        <f t="shared" ref="C104:U104" si="27">SUM(C105:C109)</f>
        <v>0</v>
      </c>
      <c r="D104" s="65">
        <f t="shared" si="27"/>
        <v>360550167.10000002</v>
      </c>
      <c r="E104" s="65">
        <f t="shared" si="27"/>
        <v>360550167.10000002</v>
      </c>
      <c r="F104" s="65">
        <f t="shared" si="27"/>
        <v>178416846.69999999</v>
      </c>
      <c r="G104" s="65">
        <f t="shared" si="27"/>
        <v>178416846.69999999</v>
      </c>
      <c r="H104" s="65">
        <f t="shared" si="27"/>
        <v>201574976.19999999</v>
      </c>
      <c r="I104" s="65">
        <f t="shared" si="27"/>
        <v>201574976.19999999</v>
      </c>
      <c r="J104" s="65">
        <f t="shared" si="27"/>
        <v>117279383.5</v>
      </c>
      <c r="K104" s="65">
        <f t="shared" si="27"/>
        <v>117279383.5</v>
      </c>
      <c r="L104" s="65">
        <f t="shared" si="27"/>
        <v>117279383.5</v>
      </c>
      <c r="M104" s="65">
        <f t="shared" si="27"/>
        <v>297251277.60000002</v>
      </c>
      <c r="N104" s="65">
        <f t="shared" si="27"/>
        <v>297251277.60000002</v>
      </c>
      <c r="O104" s="65">
        <f t="shared" si="27"/>
        <v>178416846.69999999</v>
      </c>
      <c r="P104" s="65">
        <f t="shared" si="27"/>
        <v>61137463.199999996</v>
      </c>
      <c r="Q104" s="65">
        <f t="shared" si="27"/>
        <v>84295592.699999988</v>
      </c>
      <c r="R104" s="65">
        <f t="shared" si="27"/>
        <v>84295592.699999988</v>
      </c>
      <c r="S104" s="65">
        <f t="shared" si="27"/>
        <v>0</v>
      </c>
      <c r="T104" s="65">
        <f t="shared" si="27"/>
        <v>0</v>
      </c>
      <c r="U104" s="65">
        <f t="shared" si="27"/>
        <v>0</v>
      </c>
      <c r="V104" s="65">
        <f>SUM(V105:V109)</f>
        <v>2835570181</v>
      </c>
    </row>
    <row r="105" spans="2:24" ht="24" x14ac:dyDescent="0.2">
      <c r="B105" s="12" t="s">
        <v>541</v>
      </c>
      <c r="C105" s="85">
        <f>+'P6.1'!D8</f>
        <v>0</v>
      </c>
      <c r="D105" s="85">
        <f>+'P6.1'!E8</f>
        <v>179971894.09999999</v>
      </c>
      <c r="E105" s="85">
        <f>+'P6.1'!F8</f>
        <v>179971894.09999999</v>
      </c>
      <c r="F105" s="85">
        <f>+'P6.1'!G8</f>
        <v>0</v>
      </c>
      <c r="G105" s="85">
        <f>+'P6.1'!H8</f>
        <v>0</v>
      </c>
      <c r="H105" s="85">
        <f>+'P6.1'!I8</f>
        <v>0</v>
      </c>
      <c r="I105" s="85">
        <f>+'P6.1'!J8</f>
        <v>0</v>
      </c>
      <c r="J105" s="85">
        <f>+'P6.1'!K8</f>
        <v>0</v>
      </c>
      <c r="K105" s="85">
        <f>+'P6.1'!L8</f>
        <v>0</v>
      </c>
      <c r="L105" s="85">
        <f>+'P6.1'!M8</f>
        <v>0</v>
      </c>
      <c r="M105" s="85">
        <f>+'P6.1'!N8</f>
        <v>179971894.09999999</v>
      </c>
      <c r="N105" s="85">
        <f>+'P6.1'!O8</f>
        <v>179971894.09999999</v>
      </c>
      <c r="O105" s="85">
        <f>+'P6.1'!P8</f>
        <v>0</v>
      </c>
      <c r="P105" s="85">
        <f>+'P6.1'!Q8</f>
        <v>0</v>
      </c>
      <c r="Q105" s="85">
        <f>+'P6.1'!R8</f>
        <v>0</v>
      </c>
      <c r="R105" s="85">
        <f>+'P6.1'!S8</f>
        <v>0</v>
      </c>
      <c r="S105" s="85">
        <f>+'P6.1'!T8</f>
        <v>0</v>
      </c>
      <c r="T105" s="85">
        <f>+'P6.1'!U8</f>
        <v>0</v>
      </c>
      <c r="U105" s="85">
        <f>+'P6.1'!V8</f>
        <v>0</v>
      </c>
      <c r="V105" s="63">
        <f>SUM(C105:U105)</f>
        <v>719887576.39999998</v>
      </c>
    </row>
    <row r="106" spans="2:24" ht="27" customHeight="1" x14ac:dyDescent="0.2">
      <c r="B106" s="12" t="s">
        <v>448</v>
      </c>
      <c r="C106" s="85">
        <f>+'P6.1'!D9</f>
        <v>0</v>
      </c>
      <c r="D106" s="85">
        <f>+'P6.1'!E9</f>
        <v>0</v>
      </c>
      <c r="E106" s="85">
        <f>+'P6.1'!F9</f>
        <v>0</v>
      </c>
      <c r="F106" s="85">
        <f>+'P6.1'!G9</f>
        <v>61137463.199999996</v>
      </c>
      <c r="G106" s="85">
        <f>+'P6.1'!H9</f>
        <v>61137463.199999996</v>
      </c>
      <c r="H106" s="85">
        <f>+'P6.1'!I9</f>
        <v>0</v>
      </c>
      <c r="I106" s="85">
        <f>+'P6.1'!J9</f>
        <v>0</v>
      </c>
      <c r="J106" s="85">
        <f>+'P6.1'!K9</f>
        <v>0</v>
      </c>
      <c r="K106" s="85">
        <f>+'P6.1'!L9</f>
        <v>0</v>
      </c>
      <c r="L106" s="85">
        <f>+'P6.1'!M9</f>
        <v>0</v>
      </c>
      <c r="M106" s="85">
        <f>+'P6.1'!N9</f>
        <v>0</v>
      </c>
      <c r="N106" s="85">
        <f>+'P6.1'!O9</f>
        <v>0</v>
      </c>
      <c r="O106" s="85">
        <f>+'P6.1'!P9</f>
        <v>61137463.199999996</v>
      </c>
      <c r="P106" s="85">
        <f>+'P6.1'!Q9</f>
        <v>61137463.199999996</v>
      </c>
      <c r="Q106" s="85">
        <f>+'P6.1'!R9</f>
        <v>0</v>
      </c>
      <c r="R106" s="85">
        <f>+'P6.1'!S9</f>
        <v>0</v>
      </c>
      <c r="S106" s="85">
        <f>+'P6.1'!T9</f>
        <v>0</v>
      </c>
      <c r="T106" s="85">
        <f>+'P6.1'!U9</f>
        <v>0</v>
      </c>
      <c r="U106" s="85">
        <f>+'P6.1'!V9</f>
        <v>0</v>
      </c>
      <c r="V106" s="63">
        <f>SUM(C106:U106)</f>
        <v>244549852.79999998</v>
      </c>
    </row>
    <row r="107" spans="2:24" ht="39.75" customHeight="1" x14ac:dyDescent="0.2">
      <c r="B107" s="12" t="s">
        <v>449</v>
      </c>
      <c r="C107" s="85">
        <f>+'P6.1'!D10</f>
        <v>0</v>
      </c>
      <c r="D107" s="85">
        <f>+'P6.1'!E10</f>
        <v>0</v>
      </c>
      <c r="E107" s="85">
        <f>+'P6.1'!F10</f>
        <v>0</v>
      </c>
      <c r="F107" s="85">
        <f>+'P6.1'!G10</f>
        <v>0</v>
      </c>
      <c r="G107" s="85">
        <f>+'P6.1'!H10</f>
        <v>0</v>
      </c>
      <c r="H107" s="85">
        <f>+'P6.1'!I10</f>
        <v>84295592.699999988</v>
      </c>
      <c r="I107" s="85">
        <f>+'P6.1'!J10</f>
        <v>84295592.699999988</v>
      </c>
      <c r="J107" s="85">
        <f>+'P6.1'!K10</f>
        <v>0</v>
      </c>
      <c r="K107" s="85">
        <f>+'P6.1'!L10</f>
        <v>0</v>
      </c>
      <c r="L107" s="85">
        <f>+'P6.1'!M10</f>
        <v>0</v>
      </c>
      <c r="M107" s="85">
        <f>+'P6.1'!N10</f>
        <v>0</v>
      </c>
      <c r="N107" s="85">
        <f>+'P6.1'!O10</f>
        <v>0</v>
      </c>
      <c r="O107" s="85">
        <f>+'P6.1'!P10</f>
        <v>0</v>
      </c>
      <c r="P107" s="85">
        <f>+'P6.1'!Q10</f>
        <v>0</v>
      </c>
      <c r="Q107" s="85">
        <f>+'P6.1'!R10</f>
        <v>84295592.699999988</v>
      </c>
      <c r="R107" s="85">
        <f>+'P6.1'!S10</f>
        <v>84295592.699999988</v>
      </c>
      <c r="S107" s="85">
        <f>+'P6.1'!T10</f>
        <v>0</v>
      </c>
      <c r="T107" s="85">
        <f>+'P6.1'!U10</f>
        <v>0</v>
      </c>
      <c r="U107" s="85">
        <f>+'P6.1'!V10</f>
        <v>0</v>
      </c>
      <c r="V107" s="63">
        <f>SUM(C107:U107)</f>
        <v>337182370.79999995</v>
      </c>
    </row>
    <row r="108" spans="2:24" ht="40.5" customHeight="1" x14ac:dyDescent="0.2">
      <c r="B108" s="12" t="s">
        <v>450</v>
      </c>
      <c r="C108" s="85">
        <f>+'P6.1'!D11</f>
        <v>0</v>
      </c>
      <c r="D108" s="85">
        <f>+'P6.1'!E11</f>
        <v>63298889.5</v>
      </c>
      <c r="E108" s="85">
        <f>+'P6.1'!F11</f>
        <v>63298889.5</v>
      </c>
      <c r="F108" s="85">
        <f>+'P6.1'!G11</f>
        <v>0</v>
      </c>
      <c r="G108" s="85">
        <f>+'P6.1'!H11</f>
        <v>0</v>
      </c>
      <c r="H108" s="85">
        <f>+'P6.1'!I11</f>
        <v>0</v>
      </c>
      <c r="I108" s="85">
        <f>+'P6.1'!J11</f>
        <v>0</v>
      </c>
      <c r="J108" s="85">
        <f>+'P6.1'!K11</f>
        <v>0</v>
      </c>
      <c r="K108" s="85">
        <f>+'P6.1'!L11</f>
        <v>0</v>
      </c>
      <c r="L108" s="85">
        <f>+'P6.1'!M11</f>
        <v>0</v>
      </c>
      <c r="M108" s="85">
        <f>+'P6.1'!N11</f>
        <v>0</v>
      </c>
      <c r="N108" s="85">
        <f>+'P6.1'!O11</f>
        <v>0</v>
      </c>
      <c r="O108" s="85">
        <f>+'P6.1'!P11</f>
        <v>0</v>
      </c>
      <c r="P108" s="85">
        <f>+'P6.1'!Q11</f>
        <v>0</v>
      </c>
      <c r="Q108" s="85">
        <f>+'P6.1'!R11</f>
        <v>0</v>
      </c>
      <c r="R108" s="85">
        <f>+'P6.1'!S11</f>
        <v>0</v>
      </c>
      <c r="S108" s="85">
        <f>+'P6.1'!T11</f>
        <v>0</v>
      </c>
      <c r="T108" s="85">
        <f>+'P6.1'!U11</f>
        <v>0</v>
      </c>
      <c r="U108" s="85">
        <f>+'P6.1'!V11</f>
        <v>0</v>
      </c>
      <c r="V108" s="63">
        <f>SUM(C108:U108)</f>
        <v>126597779</v>
      </c>
    </row>
    <row r="109" spans="2:24" ht="36" x14ac:dyDescent="0.2">
      <c r="B109" s="12" t="s">
        <v>451</v>
      </c>
      <c r="C109" s="85">
        <f>+'P6.1'!D12</f>
        <v>0</v>
      </c>
      <c r="D109" s="85">
        <f>+'P6.1'!E12</f>
        <v>117279383.5</v>
      </c>
      <c r="E109" s="85">
        <f>+'P6.1'!F12</f>
        <v>117279383.5</v>
      </c>
      <c r="F109" s="85">
        <f>+'P6.1'!G12</f>
        <v>117279383.5</v>
      </c>
      <c r="G109" s="85">
        <f>+'P6.1'!H12</f>
        <v>117279383.5</v>
      </c>
      <c r="H109" s="85">
        <f>+'P6.1'!I12</f>
        <v>117279383.5</v>
      </c>
      <c r="I109" s="85">
        <f>+'P6.1'!J12</f>
        <v>117279383.5</v>
      </c>
      <c r="J109" s="85">
        <f>+'P6.1'!K12</f>
        <v>117279383.5</v>
      </c>
      <c r="K109" s="85">
        <f>+'P6.1'!L12</f>
        <v>117279383.5</v>
      </c>
      <c r="L109" s="85">
        <f>+'P6.1'!M12</f>
        <v>117279383.5</v>
      </c>
      <c r="M109" s="85">
        <f>+'P6.1'!N12</f>
        <v>117279383.5</v>
      </c>
      <c r="N109" s="85">
        <f>+'P6.1'!O12</f>
        <v>117279383.5</v>
      </c>
      <c r="O109" s="85">
        <f>+'P6.1'!P12</f>
        <v>117279383.5</v>
      </c>
      <c r="P109" s="85">
        <f>+'P6.1'!Q12</f>
        <v>0</v>
      </c>
      <c r="Q109" s="85">
        <f>+'P6.1'!R12</f>
        <v>0</v>
      </c>
      <c r="R109" s="85">
        <f>+'P6.1'!S12</f>
        <v>0</v>
      </c>
      <c r="S109" s="85">
        <f>+'P6.1'!T12</f>
        <v>0</v>
      </c>
      <c r="T109" s="85">
        <f>+'P6.1'!U12</f>
        <v>0</v>
      </c>
      <c r="U109" s="85">
        <f>+'P6.1'!V12</f>
        <v>0</v>
      </c>
      <c r="V109" s="63">
        <f>SUM(C109:U109)</f>
        <v>1407352602</v>
      </c>
    </row>
    <row r="110" spans="2:24" s="88" customFormat="1" x14ac:dyDescent="0.2">
      <c r="B110" s="9" t="s">
        <v>22</v>
      </c>
      <c r="C110" s="65">
        <f t="shared" ref="C110:U110" si="28">SUM(C111:C115)</f>
        <v>0</v>
      </c>
      <c r="D110" s="65">
        <f t="shared" si="28"/>
        <v>0</v>
      </c>
      <c r="E110" s="65">
        <f t="shared" si="28"/>
        <v>0</v>
      </c>
      <c r="F110" s="65">
        <f t="shared" si="28"/>
        <v>149989525.5</v>
      </c>
      <c r="G110" s="65">
        <f t="shared" si="28"/>
        <v>58729547774</v>
      </c>
      <c r="H110" s="65">
        <f t="shared" si="28"/>
        <v>37429547774</v>
      </c>
      <c r="I110" s="65">
        <f t="shared" si="28"/>
        <v>31039547774</v>
      </c>
      <c r="J110" s="65">
        <f t="shared" si="28"/>
        <v>191389547774</v>
      </c>
      <c r="K110" s="65">
        <f t="shared" si="28"/>
        <v>73489558248.5</v>
      </c>
      <c r="L110" s="65">
        <f t="shared" si="28"/>
        <v>239558248.5</v>
      </c>
      <c r="M110" s="65">
        <f t="shared" si="28"/>
        <v>239558248.5</v>
      </c>
      <c r="N110" s="65">
        <f t="shared" si="28"/>
        <v>239558248.5</v>
      </c>
      <c r="O110" s="65">
        <f t="shared" si="28"/>
        <v>239558248.5</v>
      </c>
      <c r="P110" s="65">
        <f t="shared" si="28"/>
        <v>239558248.5</v>
      </c>
      <c r="Q110" s="65">
        <f t="shared" si="28"/>
        <v>239558248.5</v>
      </c>
      <c r="R110" s="65">
        <f t="shared" si="28"/>
        <v>0</v>
      </c>
      <c r="S110" s="65">
        <f t="shared" si="28"/>
        <v>0</v>
      </c>
      <c r="T110" s="65">
        <f t="shared" si="28"/>
        <v>0</v>
      </c>
      <c r="U110" s="65">
        <f t="shared" si="28"/>
        <v>0</v>
      </c>
      <c r="V110" s="65">
        <f>SUM(V111:V115)</f>
        <v>393665088361</v>
      </c>
    </row>
    <row r="111" spans="2:24" ht="24" x14ac:dyDescent="0.2">
      <c r="B111" s="12" t="s">
        <v>459</v>
      </c>
      <c r="C111" s="85">
        <f>+'P6.2'!D8</f>
        <v>0</v>
      </c>
      <c r="D111" s="85">
        <f>+'P6.2'!E8</f>
        <v>0</v>
      </c>
      <c r="E111" s="85">
        <f>+'P6.2'!F8</f>
        <v>0</v>
      </c>
      <c r="F111" s="85">
        <f>+'P6.2'!G8</f>
        <v>149989525.5</v>
      </c>
      <c r="G111" s="85">
        <f>+'P6.2'!H8</f>
        <v>149989525.5</v>
      </c>
      <c r="H111" s="85">
        <f>+'P6.2'!I8</f>
        <v>149989525.5</v>
      </c>
      <c r="I111" s="85">
        <f>+'P6.2'!J8</f>
        <v>149989525.5</v>
      </c>
      <c r="J111" s="85">
        <f>+'P6.2'!K8</f>
        <v>149989525.5</v>
      </c>
      <c r="K111" s="85">
        <f>+'P6.2'!L8</f>
        <v>0</v>
      </c>
      <c r="L111" s="85">
        <f>+'P6.2'!M8</f>
        <v>0</v>
      </c>
      <c r="M111" s="85">
        <f>+'P6.2'!N8</f>
        <v>0</v>
      </c>
      <c r="N111" s="85">
        <f>+'P6.2'!O8</f>
        <v>0</v>
      </c>
      <c r="O111" s="85">
        <f>+'P6.2'!P8</f>
        <v>0</v>
      </c>
      <c r="P111" s="85">
        <f>+'P6.2'!Q8</f>
        <v>0</v>
      </c>
      <c r="Q111" s="85">
        <f>+'P6.2'!R8</f>
        <v>0</v>
      </c>
      <c r="R111" s="85">
        <f>+'P6.2'!S8</f>
        <v>0</v>
      </c>
      <c r="S111" s="85">
        <f>+'P6.2'!T8</f>
        <v>0</v>
      </c>
      <c r="T111" s="85">
        <f>+'P6.2'!U8</f>
        <v>0</v>
      </c>
      <c r="U111" s="85">
        <f>+'P6.2'!V8</f>
        <v>0</v>
      </c>
      <c r="V111" s="63">
        <f t="shared" ref="V111:V115" si="29">SUM(C111:U111)</f>
        <v>749947627.5</v>
      </c>
    </row>
    <row r="112" spans="2:24" ht="28.5" customHeight="1" x14ac:dyDescent="0.2">
      <c r="B112" s="12" t="s">
        <v>460</v>
      </c>
      <c r="C112" s="85">
        <f>+'P6.2'!D9</f>
        <v>0</v>
      </c>
      <c r="D112" s="85">
        <f>+'P6.2'!E9</f>
        <v>0</v>
      </c>
      <c r="E112" s="85">
        <f>+'P6.2'!F9</f>
        <v>0</v>
      </c>
      <c r="F112" s="85">
        <f>+'P6.2'!G9</f>
        <v>0</v>
      </c>
      <c r="G112" s="85">
        <f>+'P6.2'!H9</f>
        <v>90273435</v>
      </c>
      <c r="H112" s="85">
        <f>+'P6.2'!I9</f>
        <v>90273435</v>
      </c>
      <c r="I112" s="85">
        <f>+'P6.2'!J9</f>
        <v>90273435</v>
      </c>
      <c r="J112" s="85">
        <f>+'P6.2'!K9</f>
        <v>90273435</v>
      </c>
      <c r="K112" s="85">
        <f>+'P6.2'!L9</f>
        <v>90273435</v>
      </c>
      <c r="L112" s="85">
        <f>+'P6.2'!M9</f>
        <v>90273435</v>
      </c>
      <c r="M112" s="85">
        <f>+'P6.2'!N9</f>
        <v>90273435</v>
      </c>
      <c r="N112" s="85">
        <f>+'P6.2'!O9</f>
        <v>90273435</v>
      </c>
      <c r="O112" s="85">
        <f>+'P6.2'!P9</f>
        <v>90273435</v>
      </c>
      <c r="P112" s="85">
        <f>+'P6.2'!Q9</f>
        <v>90273435</v>
      </c>
      <c r="Q112" s="85">
        <f>+'P6.2'!R9</f>
        <v>90273435</v>
      </c>
      <c r="R112" s="85">
        <f>+'P6.2'!S9</f>
        <v>0</v>
      </c>
      <c r="S112" s="85">
        <f>+'P6.2'!T9</f>
        <v>0</v>
      </c>
      <c r="T112" s="85">
        <f>+'P6.2'!U9</f>
        <v>0</v>
      </c>
      <c r="U112" s="85">
        <f>+'P6.2'!V9</f>
        <v>0</v>
      </c>
      <c r="V112" s="63">
        <f t="shared" si="29"/>
        <v>993007785</v>
      </c>
    </row>
    <row r="113" spans="2:24" ht="27" customHeight="1" x14ac:dyDescent="0.2">
      <c r="B113" s="12" t="s">
        <v>461</v>
      </c>
      <c r="C113" s="85">
        <f>+'P6.2'!D10</f>
        <v>0</v>
      </c>
      <c r="D113" s="85">
        <f>+'P6.2'!E10</f>
        <v>0</v>
      </c>
      <c r="E113" s="85">
        <f>+'P6.2'!F10</f>
        <v>0</v>
      </c>
      <c r="F113" s="85">
        <f>+'P6.2'!G10</f>
        <v>0</v>
      </c>
      <c r="G113" s="85">
        <f>+'P6.2'!H10</f>
        <v>59284813.499999993</v>
      </c>
      <c r="H113" s="85">
        <f>+'P6.2'!I10</f>
        <v>59284813.499999993</v>
      </c>
      <c r="I113" s="85">
        <f>+'P6.2'!J10</f>
        <v>59284813.499999993</v>
      </c>
      <c r="J113" s="85">
        <f>+'P6.2'!K10</f>
        <v>59284813.499999993</v>
      </c>
      <c r="K113" s="85">
        <f>+'P6.2'!L10</f>
        <v>59284813.499999993</v>
      </c>
      <c r="L113" s="85">
        <f>+'P6.2'!M10</f>
        <v>59284813.499999993</v>
      </c>
      <c r="M113" s="85">
        <f>+'P6.2'!N10</f>
        <v>59284813.499999993</v>
      </c>
      <c r="N113" s="85">
        <f>+'P6.2'!O10</f>
        <v>59284813.499999993</v>
      </c>
      <c r="O113" s="85">
        <f>+'P6.2'!P10</f>
        <v>59284813.499999993</v>
      </c>
      <c r="P113" s="85">
        <f>+'P6.2'!Q10</f>
        <v>59284813.499999993</v>
      </c>
      <c r="Q113" s="85">
        <f>+'P6.2'!R10</f>
        <v>59284813.499999993</v>
      </c>
      <c r="R113" s="85">
        <f>+'P6.2'!S10</f>
        <v>0</v>
      </c>
      <c r="S113" s="85">
        <f>+'P6.2'!T10</f>
        <v>0</v>
      </c>
      <c r="T113" s="85">
        <f>+'P6.2'!U10</f>
        <v>0</v>
      </c>
      <c r="U113" s="85">
        <f>+'P6.2'!V10</f>
        <v>0</v>
      </c>
      <c r="V113" s="63">
        <f t="shared" si="29"/>
        <v>652132948.49999988</v>
      </c>
    </row>
    <row r="114" spans="2:24" ht="29.25" customHeight="1" x14ac:dyDescent="0.2">
      <c r="B114" s="12" t="s">
        <v>462</v>
      </c>
      <c r="C114" s="85">
        <f>+'P6.2'!D11</f>
        <v>0</v>
      </c>
      <c r="D114" s="85">
        <f>+'P6.2'!E11</f>
        <v>0</v>
      </c>
      <c r="E114" s="85">
        <f>+'P6.2'!F11</f>
        <v>0</v>
      </c>
      <c r="F114" s="85">
        <f>+'P6.2'!G11</f>
        <v>0</v>
      </c>
      <c r="G114" s="85">
        <f>+'P6.2'!H11</f>
        <v>58340000000</v>
      </c>
      <c r="H114" s="85">
        <f>+'P6.2'!I11</f>
        <v>37040000000</v>
      </c>
      <c r="I114" s="85">
        <f>+'P6.2'!J11</f>
        <v>30650000000</v>
      </c>
      <c r="J114" s="85">
        <f>+'P6.2'!K11</f>
        <v>191000000000</v>
      </c>
      <c r="K114" s="85">
        <f>+'P6.2'!L11</f>
        <v>73250000000</v>
      </c>
      <c r="L114" s="85" t="str">
        <f>+'P6.2'!M11</f>
        <v>Presupuesto relativo</v>
      </c>
      <c r="M114" s="85" t="str">
        <f>+'P6.2'!N11</f>
        <v>Presupuesto relativo</v>
      </c>
      <c r="N114" s="85" t="str">
        <f>+'P6.2'!O11</f>
        <v>Presupuesto relativo</v>
      </c>
      <c r="O114" s="85" t="str">
        <f>+'P6.2'!P11</f>
        <v>Presupuesto relativo</v>
      </c>
      <c r="P114" s="85" t="str">
        <f>+'P6.2'!Q11</f>
        <v>Presupuesto relativo</v>
      </c>
      <c r="Q114" s="85" t="str">
        <f>+'P6.2'!R11</f>
        <v>Presupuesto relativo</v>
      </c>
      <c r="R114" s="85">
        <f>+'P6.2'!S11</f>
        <v>0</v>
      </c>
      <c r="S114" s="85">
        <f>+'P6.2'!T11</f>
        <v>0</v>
      </c>
      <c r="T114" s="85">
        <f>+'P6.2'!U11</f>
        <v>0</v>
      </c>
      <c r="U114" s="85">
        <f>+'P6.2'!V11</f>
        <v>0</v>
      </c>
      <c r="V114" s="63">
        <f t="shared" si="29"/>
        <v>390280000000</v>
      </c>
    </row>
    <row r="115" spans="2:24" ht="26.25" customHeight="1" x14ac:dyDescent="0.2">
      <c r="B115" s="12" t="s">
        <v>463</v>
      </c>
      <c r="C115" s="85">
        <f>+'P6.2'!D12</f>
        <v>0</v>
      </c>
      <c r="D115" s="85">
        <f>+'P6.2'!E12</f>
        <v>0</v>
      </c>
      <c r="E115" s="85">
        <f>+'P6.2'!F12</f>
        <v>0</v>
      </c>
      <c r="F115" s="85">
        <f>+'P6.2'!G12</f>
        <v>0</v>
      </c>
      <c r="G115" s="85">
        <f>+'P6.2'!H12</f>
        <v>90000000</v>
      </c>
      <c r="H115" s="85">
        <f>+'P6.2'!I12</f>
        <v>90000000</v>
      </c>
      <c r="I115" s="85">
        <f>+'P6.2'!J12</f>
        <v>90000000</v>
      </c>
      <c r="J115" s="85">
        <f>+'P6.2'!K12</f>
        <v>90000000</v>
      </c>
      <c r="K115" s="85">
        <f>+'P6.2'!L12</f>
        <v>90000000</v>
      </c>
      <c r="L115" s="85">
        <f>+'P6.2'!M12</f>
        <v>90000000</v>
      </c>
      <c r="M115" s="85">
        <f>+'P6.2'!N12</f>
        <v>90000000</v>
      </c>
      <c r="N115" s="85">
        <f>+'P6.2'!O12</f>
        <v>90000000</v>
      </c>
      <c r="O115" s="85">
        <f>+'P6.2'!P12</f>
        <v>90000000</v>
      </c>
      <c r="P115" s="85">
        <f>+'P6.2'!Q12</f>
        <v>90000000</v>
      </c>
      <c r="Q115" s="85">
        <f>+'P6.2'!R12</f>
        <v>90000000</v>
      </c>
      <c r="R115" s="85">
        <f>+'P6.2'!S12</f>
        <v>0</v>
      </c>
      <c r="S115" s="85">
        <f>+'P6.2'!T12</f>
        <v>0</v>
      </c>
      <c r="T115" s="85">
        <f>+'P6.2'!U12</f>
        <v>0</v>
      </c>
      <c r="U115" s="85">
        <f>+'P6.2'!V12</f>
        <v>0</v>
      </c>
      <c r="V115" s="63">
        <f t="shared" si="29"/>
        <v>990000000</v>
      </c>
    </row>
    <row r="116" spans="2:24" s="88" customFormat="1" ht="16.5" customHeight="1" x14ac:dyDescent="0.2">
      <c r="B116" s="8" t="s">
        <v>23</v>
      </c>
      <c r="C116" s="180">
        <f>+C117+C123</f>
        <v>0</v>
      </c>
      <c r="D116" s="180">
        <f t="shared" ref="D116:U116" si="30">+D117+D123</f>
        <v>1263927531</v>
      </c>
      <c r="E116" s="180">
        <f t="shared" si="30"/>
        <v>3353208693</v>
      </c>
      <c r="F116" s="180">
        <f t="shared" si="30"/>
        <v>3901462925.5</v>
      </c>
      <c r="G116" s="180">
        <f t="shared" si="30"/>
        <v>3621462925.5</v>
      </c>
      <c r="H116" s="180">
        <f t="shared" si="30"/>
        <v>3621462925.5</v>
      </c>
      <c r="I116" s="180">
        <f t="shared" si="30"/>
        <v>2864475823.5</v>
      </c>
      <c r="J116" s="180">
        <f t="shared" si="30"/>
        <v>2002852584.5</v>
      </c>
      <c r="K116" s="180">
        <f t="shared" si="30"/>
        <v>1828535429</v>
      </c>
      <c r="L116" s="180">
        <f t="shared" si="30"/>
        <v>1828535429</v>
      </c>
      <c r="M116" s="180">
        <f t="shared" si="30"/>
        <v>1891834318.5</v>
      </c>
      <c r="N116" s="180">
        <f t="shared" si="30"/>
        <v>1868535429</v>
      </c>
      <c r="O116" s="180">
        <f t="shared" si="30"/>
        <v>1962852584.5</v>
      </c>
      <c r="P116" s="180">
        <f t="shared" si="30"/>
        <v>1828535429</v>
      </c>
      <c r="Q116" s="180">
        <f t="shared" si="30"/>
        <v>1891834318.5</v>
      </c>
      <c r="R116" s="180">
        <f t="shared" si="30"/>
        <v>1868535429</v>
      </c>
      <c r="S116" s="180">
        <f t="shared" si="30"/>
        <v>1828535429</v>
      </c>
      <c r="T116" s="180">
        <f t="shared" si="30"/>
        <v>1962852584.5</v>
      </c>
      <c r="U116" s="180">
        <f t="shared" si="30"/>
        <v>1891834318.5</v>
      </c>
      <c r="V116" s="179">
        <f>+V117+V123</f>
        <v>41281274107</v>
      </c>
      <c r="W116" s="238">
        <f>SUM(C116:U116)</f>
        <v>41281274107</v>
      </c>
      <c r="X116" s="237">
        <f>+V116-W116</f>
        <v>0</v>
      </c>
    </row>
    <row r="117" spans="2:24" s="88" customFormat="1" ht="15.75" customHeight="1" x14ac:dyDescent="0.2">
      <c r="B117" s="9" t="s">
        <v>24</v>
      </c>
      <c r="C117" s="65">
        <f t="shared" ref="C117:U117" si="31">SUM(C118:C122)</f>
        <v>0</v>
      </c>
      <c r="D117" s="65">
        <f t="shared" si="31"/>
        <v>1122031759</v>
      </c>
      <c r="E117" s="65">
        <f t="shared" si="31"/>
        <v>3053208693</v>
      </c>
      <c r="F117" s="65">
        <f t="shared" si="31"/>
        <v>2345179623.5</v>
      </c>
      <c r="G117" s="65">
        <f t="shared" si="31"/>
        <v>2345179623.5</v>
      </c>
      <c r="H117" s="65">
        <f t="shared" si="31"/>
        <v>2345179623.5</v>
      </c>
      <c r="I117" s="65">
        <f t="shared" si="31"/>
        <v>1994475823.5</v>
      </c>
      <c r="J117" s="65">
        <f t="shared" si="31"/>
        <v>1092852584.5</v>
      </c>
      <c r="K117" s="65">
        <f t="shared" si="31"/>
        <v>958535429</v>
      </c>
      <c r="L117" s="65">
        <f t="shared" si="31"/>
        <v>958535429</v>
      </c>
      <c r="M117" s="65">
        <f t="shared" si="31"/>
        <v>1021834318.5</v>
      </c>
      <c r="N117" s="65">
        <f t="shared" si="31"/>
        <v>958535429</v>
      </c>
      <c r="O117" s="65">
        <f t="shared" si="31"/>
        <v>1092852584.5</v>
      </c>
      <c r="P117" s="65">
        <f t="shared" si="31"/>
        <v>958535429</v>
      </c>
      <c r="Q117" s="65">
        <f t="shared" si="31"/>
        <v>1021834318.5</v>
      </c>
      <c r="R117" s="65">
        <f t="shared" si="31"/>
        <v>958535429</v>
      </c>
      <c r="S117" s="65">
        <f t="shared" si="31"/>
        <v>958535429</v>
      </c>
      <c r="T117" s="65">
        <f t="shared" si="31"/>
        <v>1092852584.5</v>
      </c>
      <c r="U117" s="65">
        <f t="shared" si="31"/>
        <v>1021834318.5</v>
      </c>
      <c r="V117" s="65">
        <f>SUM(V118:V122)</f>
        <v>25300528429</v>
      </c>
    </row>
    <row r="118" spans="2:24" ht="51" customHeight="1" x14ac:dyDescent="0.2">
      <c r="B118" s="12" t="s">
        <v>465</v>
      </c>
      <c r="C118" s="85">
        <f>+'P7.1'!D8</f>
        <v>0</v>
      </c>
      <c r="D118" s="85">
        <f>+'P7.1'!E8</f>
        <v>309709224.5</v>
      </c>
      <c r="E118" s="85">
        <f>+'P7.1'!F8</f>
        <v>309709224.5</v>
      </c>
      <c r="F118" s="85">
        <f>+'P7.1'!G8</f>
        <v>0</v>
      </c>
      <c r="G118" s="85">
        <f>+'P7.1'!H8</f>
        <v>0</v>
      </c>
      <c r="H118" s="85">
        <f>+'P7.1'!I8</f>
        <v>0</v>
      </c>
      <c r="I118" s="85">
        <f>+'P7.1'!J8</f>
        <v>63298889.5</v>
      </c>
      <c r="J118" s="85">
        <f>+'P7.1'!K8</f>
        <v>0</v>
      </c>
      <c r="K118" s="85">
        <f>+'P7.1'!L8</f>
        <v>0</v>
      </c>
      <c r="L118" s="85">
        <f>+'P7.1'!M8</f>
        <v>0</v>
      </c>
      <c r="M118" s="85">
        <f>+'P7.1'!N8</f>
        <v>63298889.5</v>
      </c>
      <c r="N118" s="85">
        <f>+'P7.1'!O8</f>
        <v>0</v>
      </c>
      <c r="O118" s="85">
        <f>+'P7.1'!P8</f>
        <v>0</v>
      </c>
      <c r="P118" s="85">
        <f>+'P7.1'!Q8</f>
        <v>0</v>
      </c>
      <c r="Q118" s="85">
        <f>+'P7.1'!R8</f>
        <v>63298889.5</v>
      </c>
      <c r="R118" s="85">
        <f>+'P7.1'!S8</f>
        <v>0</v>
      </c>
      <c r="S118" s="85">
        <f>+'P7.1'!T8</f>
        <v>0</v>
      </c>
      <c r="T118" s="85">
        <f>+'P7.1'!U8</f>
        <v>0</v>
      </c>
      <c r="U118" s="85">
        <f>+'P7.1'!V8</f>
        <v>63298889.5</v>
      </c>
      <c r="V118" s="63">
        <f t="shared" ref="V118:V128" si="32">SUM(C118:U118)</f>
        <v>872614007</v>
      </c>
    </row>
    <row r="119" spans="2:24" ht="40.5" customHeight="1" x14ac:dyDescent="0.2">
      <c r="B119" s="12" t="s">
        <v>466</v>
      </c>
      <c r="C119" s="85">
        <f>+'P7.1'!D9</f>
        <v>0</v>
      </c>
      <c r="D119" s="85">
        <f>+'P7.1'!E9</f>
        <v>264002689.5</v>
      </c>
      <c r="E119" s="85">
        <f>+'P7.1'!F9</f>
        <v>264002689.5</v>
      </c>
      <c r="F119" s="85">
        <f>+'P7.1'!G9</f>
        <v>0</v>
      </c>
      <c r="G119" s="85">
        <f>+'P7.1'!H9</f>
        <v>0</v>
      </c>
      <c r="H119" s="85">
        <f>+'P7.1'!I9</f>
        <v>0</v>
      </c>
      <c r="I119" s="85">
        <f>+'P7.1'!J9</f>
        <v>0</v>
      </c>
      <c r="J119" s="85">
        <f>+'P7.1'!K9</f>
        <v>0</v>
      </c>
      <c r="K119" s="85">
        <f>+'P7.1'!L9</f>
        <v>0</v>
      </c>
      <c r="L119" s="85">
        <f>+'P7.1'!M9</f>
        <v>0</v>
      </c>
      <c r="M119" s="85">
        <f>+'P7.1'!N9</f>
        <v>0</v>
      </c>
      <c r="N119" s="85">
        <f>+'P7.1'!O9</f>
        <v>0</v>
      </c>
      <c r="O119" s="85">
        <f>+'P7.1'!P9</f>
        <v>0</v>
      </c>
      <c r="P119" s="85">
        <f>+'P7.1'!Q9</f>
        <v>0</v>
      </c>
      <c r="Q119" s="85">
        <f>+'P7.1'!R9</f>
        <v>0</v>
      </c>
      <c r="R119" s="85">
        <f>+'P7.1'!S9</f>
        <v>0</v>
      </c>
      <c r="S119" s="85">
        <f>+'P7.1'!T9</f>
        <v>0</v>
      </c>
      <c r="T119" s="85">
        <f>+'P7.1'!U9</f>
        <v>0</v>
      </c>
      <c r="U119" s="85">
        <f>+'P7.1'!V9</f>
        <v>0</v>
      </c>
      <c r="V119" s="63">
        <f t="shared" si="32"/>
        <v>528005379</v>
      </c>
    </row>
    <row r="120" spans="2:24" ht="28.5" customHeight="1" x14ac:dyDescent="0.2">
      <c r="B120" s="12" t="s">
        <v>467</v>
      </c>
      <c r="C120" s="85">
        <f>+'P7.1'!D10</f>
        <v>0</v>
      </c>
      <c r="D120" s="85">
        <f>+'P7.1'!E10</f>
        <v>414002689.5</v>
      </c>
      <c r="E120" s="85">
        <f>+'P7.1'!F10</f>
        <v>414002689.5</v>
      </c>
      <c r="F120" s="85">
        <f>+'P7.1'!G10</f>
        <v>414002689.5</v>
      </c>
      <c r="G120" s="85">
        <f>+'P7.1'!H10</f>
        <v>414002689.5</v>
      </c>
      <c r="H120" s="85">
        <f>+'P7.1'!I10</f>
        <v>414002689.5</v>
      </c>
      <c r="I120" s="85" t="str">
        <f>+'P7.1'!J10</f>
        <v>Presupuesto relativo</v>
      </c>
      <c r="J120" s="85" t="str">
        <f>+'P7.1'!K10</f>
        <v>Presupuesto relativo</v>
      </c>
      <c r="K120" s="85" t="str">
        <f>+'P7.1'!L10</f>
        <v>Presupuesto relativo</v>
      </c>
      <c r="L120" s="85" t="str">
        <f>+'P7.1'!M10</f>
        <v>Presupuesto relativo</v>
      </c>
      <c r="M120" s="85" t="str">
        <f>+'P7.1'!N10</f>
        <v>Presupuesto relativo</v>
      </c>
      <c r="N120" s="85" t="str">
        <f>+'P7.1'!O10</f>
        <v>Presupuesto relativo</v>
      </c>
      <c r="O120" s="85" t="str">
        <f>+'P7.1'!P10</f>
        <v>Presupuesto relativo</v>
      </c>
      <c r="P120" s="85" t="str">
        <f>+'P7.1'!Q10</f>
        <v>Presupuesto relativo</v>
      </c>
      <c r="Q120" s="85" t="str">
        <f>+'P7.1'!R10</f>
        <v>Presupuesto relativo</v>
      </c>
      <c r="R120" s="85" t="str">
        <f>+'P7.1'!S10</f>
        <v>Presupuesto relativo</v>
      </c>
      <c r="S120" s="85" t="str">
        <f>+'P7.1'!T10</f>
        <v>Presupuesto relativo</v>
      </c>
      <c r="T120" s="85" t="str">
        <f>+'P7.1'!U10</f>
        <v>Presupuesto relativo</v>
      </c>
      <c r="U120" s="85" t="str">
        <f>+'P7.1'!V10</f>
        <v>Presupuesto relativo</v>
      </c>
      <c r="V120" s="63">
        <f t="shared" si="32"/>
        <v>2070013447.5</v>
      </c>
    </row>
    <row r="121" spans="2:24" ht="27.75" customHeight="1" x14ac:dyDescent="0.2">
      <c r="B121" s="12" t="s">
        <v>468</v>
      </c>
      <c r="C121" s="85">
        <f>+'P7.1'!D11</f>
        <v>0</v>
      </c>
      <c r="D121" s="85">
        <f>+'P7.1'!E11</f>
        <v>134317155.5</v>
      </c>
      <c r="E121" s="85">
        <f>+'P7.1'!F11</f>
        <v>134317155.5</v>
      </c>
      <c r="F121" s="85">
        <f>+'P7.1'!G11</f>
        <v>0</v>
      </c>
      <c r="G121" s="85">
        <f>+'P7.1'!H11</f>
        <v>0</v>
      </c>
      <c r="H121" s="85">
        <f>+'P7.1'!I11</f>
        <v>0</v>
      </c>
      <c r="I121" s="85">
        <f>+'P7.1'!J11</f>
        <v>0</v>
      </c>
      <c r="J121" s="85">
        <f>+'P7.1'!K11</f>
        <v>134317155.5</v>
      </c>
      <c r="K121" s="85">
        <f>+'P7.1'!L11</f>
        <v>0</v>
      </c>
      <c r="L121" s="85">
        <f>+'P7.1'!M11</f>
        <v>0</v>
      </c>
      <c r="M121" s="85">
        <f>+'P7.1'!N11</f>
        <v>0</v>
      </c>
      <c r="N121" s="85">
        <f>+'P7.1'!O11</f>
        <v>0</v>
      </c>
      <c r="O121" s="85">
        <f>+'P7.1'!P11</f>
        <v>134317155.5</v>
      </c>
      <c r="P121" s="85">
        <f>+'P7.1'!Q11</f>
        <v>0</v>
      </c>
      <c r="Q121" s="85">
        <f>+'P7.1'!R11</f>
        <v>0</v>
      </c>
      <c r="R121" s="85">
        <f>+'P7.1'!S11</f>
        <v>0</v>
      </c>
      <c r="S121" s="85">
        <f>+'P7.1'!T11</f>
        <v>0</v>
      </c>
      <c r="T121" s="85">
        <f>+'P7.1'!U11</f>
        <v>134317155.5</v>
      </c>
      <c r="U121" s="85">
        <f>+'P7.1'!V11</f>
        <v>0</v>
      </c>
      <c r="V121" s="63">
        <f t="shared" si="32"/>
        <v>671585777.5</v>
      </c>
    </row>
    <row r="122" spans="2:24" ht="24" x14ac:dyDescent="0.2">
      <c r="B122" s="12" t="s">
        <v>469</v>
      </c>
      <c r="C122" s="85">
        <f>+'P7.1'!D12</f>
        <v>0</v>
      </c>
      <c r="D122" s="85">
        <f>+'P7.1'!E12</f>
        <v>0</v>
      </c>
      <c r="E122" s="85">
        <f>+'P7.1'!F12</f>
        <v>1931176934</v>
      </c>
      <c r="F122" s="85">
        <f>+'P7.1'!G12</f>
        <v>1931176934</v>
      </c>
      <c r="G122" s="85">
        <f>+'P7.1'!H12</f>
        <v>1931176934</v>
      </c>
      <c r="H122" s="85">
        <f>+'P7.1'!I12</f>
        <v>1931176934</v>
      </c>
      <c r="I122" s="85">
        <f>+'P7.1'!J12</f>
        <v>1931176934</v>
      </c>
      <c r="J122" s="85">
        <f>+'P7.1'!K12</f>
        <v>958535429</v>
      </c>
      <c r="K122" s="85">
        <f>+'P7.1'!L12</f>
        <v>958535429</v>
      </c>
      <c r="L122" s="85">
        <f>+'P7.1'!M12</f>
        <v>958535429</v>
      </c>
      <c r="M122" s="85">
        <f>+'P7.1'!N12</f>
        <v>958535429</v>
      </c>
      <c r="N122" s="85">
        <f>+'P7.1'!O12</f>
        <v>958535429</v>
      </c>
      <c r="O122" s="85">
        <f>+'P7.1'!P12</f>
        <v>958535429</v>
      </c>
      <c r="P122" s="85">
        <f>+'P7.1'!Q12</f>
        <v>958535429</v>
      </c>
      <c r="Q122" s="85">
        <f>+'P7.1'!R12</f>
        <v>958535429</v>
      </c>
      <c r="R122" s="85">
        <f>+'P7.1'!S12</f>
        <v>958535429</v>
      </c>
      <c r="S122" s="85">
        <f>+'P7.1'!T12</f>
        <v>958535429</v>
      </c>
      <c r="T122" s="85">
        <f>+'P7.1'!U12</f>
        <v>958535429</v>
      </c>
      <c r="U122" s="85">
        <f>+'P7.1'!V12</f>
        <v>958535429</v>
      </c>
      <c r="V122" s="63">
        <f t="shared" si="32"/>
        <v>21158309818</v>
      </c>
    </row>
    <row r="123" spans="2:24" s="88" customFormat="1" ht="17.25" customHeight="1" x14ac:dyDescent="0.2">
      <c r="B123" s="9" t="s">
        <v>25</v>
      </c>
      <c r="C123" s="65">
        <f t="shared" ref="C123:U123" si="33">SUM(C124:C128)</f>
        <v>0</v>
      </c>
      <c r="D123" s="65">
        <f t="shared" si="33"/>
        <v>141895772</v>
      </c>
      <c r="E123" s="65">
        <f t="shared" si="33"/>
        <v>300000000</v>
      </c>
      <c r="F123" s="65">
        <f t="shared" si="33"/>
        <v>1556283302</v>
      </c>
      <c r="G123" s="65">
        <f t="shared" si="33"/>
        <v>1276283302</v>
      </c>
      <c r="H123" s="65">
        <f t="shared" si="33"/>
        <v>1276283302</v>
      </c>
      <c r="I123" s="65">
        <f t="shared" si="33"/>
        <v>870000000</v>
      </c>
      <c r="J123" s="65">
        <f t="shared" si="33"/>
        <v>910000000</v>
      </c>
      <c r="K123" s="65">
        <f t="shared" si="33"/>
        <v>870000000</v>
      </c>
      <c r="L123" s="65">
        <f t="shared" si="33"/>
        <v>870000000</v>
      </c>
      <c r="M123" s="65">
        <f t="shared" si="33"/>
        <v>870000000</v>
      </c>
      <c r="N123" s="65">
        <f t="shared" si="33"/>
        <v>910000000</v>
      </c>
      <c r="O123" s="65">
        <f t="shared" si="33"/>
        <v>870000000</v>
      </c>
      <c r="P123" s="65">
        <f t="shared" si="33"/>
        <v>870000000</v>
      </c>
      <c r="Q123" s="65">
        <f t="shared" si="33"/>
        <v>870000000</v>
      </c>
      <c r="R123" s="65">
        <f t="shared" si="33"/>
        <v>910000000</v>
      </c>
      <c r="S123" s="65">
        <f t="shared" si="33"/>
        <v>870000000</v>
      </c>
      <c r="T123" s="65">
        <f t="shared" si="33"/>
        <v>870000000</v>
      </c>
      <c r="U123" s="65">
        <f t="shared" si="33"/>
        <v>870000000</v>
      </c>
      <c r="V123" s="65">
        <f>SUM(V124:V128)</f>
        <v>15980745678</v>
      </c>
    </row>
    <row r="124" spans="2:24" ht="27" customHeight="1" x14ac:dyDescent="0.2">
      <c r="B124" s="12" t="s">
        <v>475</v>
      </c>
      <c r="C124" s="85">
        <f>+'P7.2'!D8</f>
        <v>0</v>
      </c>
      <c r="D124" s="85">
        <f>+'P7.2'!E8</f>
        <v>141895772</v>
      </c>
      <c r="E124" s="85">
        <f>+'P7.2'!F8</f>
        <v>40000000</v>
      </c>
      <c r="F124" s="85">
        <f>+'P7.2'!G8</f>
        <v>40000000</v>
      </c>
      <c r="G124" s="85">
        <f>+'P7.2'!H8</f>
        <v>0</v>
      </c>
      <c r="H124" s="85">
        <f>+'P7.2'!I8</f>
        <v>0</v>
      </c>
      <c r="I124" s="85">
        <f>+'P7.2'!J8</f>
        <v>0</v>
      </c>
      <c r="J124" s="85">
        <f>+'P7.2'!K8</f>
        <v>40000000</v>
      </c>
      <c r="K124" s="85">
        <f>+'P7.2'!L8</f>
        <v>0</v>
      </c>
      <c r="L124" s="85">
        <f>+'P7.2'!M8</f>
        <v>0</v>
      </c>
      <c r="M124" s="85">
        <f>+'P7.2'!N8</f>
        <v>0</v>
      </c>
      <c r="N124" s="85">
        <f>+'P7.2'!O8</f>
        <v>40000000</v>
      </c>
      <c r="O124" s="85">
        <f>+'P7.2'!P8</f>
        <v>0</v>
      </c>
      <c r="P124" s="85">
        <f>+'P7.2'!Q8</f>
        <v>0</v>
      </c>
      <c r="Q124" s="85">
        <f>+'P7.2'!R8</f>
        <v>0</v>
      </c>
      <c r="R124" s="85">
        <f>+'P7.2'!S8</f>
        <v>40000000</v>
      </c>
      <c r="S124" s="85">
        <f>+'P7.2'!T8</f>
        <v>0</v>
      </c>
      <c r="T124" s="85">
        <f>+'P7.2'!U8</f>
        <v>0</v>
      </c>
      <c r="U124" s="85">
        <f>+'P7.2'!V8</f>
        <v>0</v>
      </c>
      <c r="V124" s="63">
        <f t="shared" si="32"/>
        <v>341895772</v>
      </c>
    </row>
    <row r="125" spans="2:24" ht="27.75" customHeight="1" x14ac:dyDescent="0.2">
      <c r="B125" s="12" t="s">
        <v>476</v>
      </c>
      <c r="C125" s="85">
        <f>+'P7.2'!D9</f>
        <v>0</v>
      </c>
      <c r="D125" s="85">
        <f>+'P7.2'!E9</f>
        <v>0</v>
      </c>
      <c r="E125" s="85">
        <f>+'P7.2'!F9</f>
        <v>260000000</v>
      </c>
      <c r="F125" s="85">
        <f>+'P7.2'!G9</f>
        <v>260000000</v>
      </c>
      <c r="G125" s="85">
        <f>+'P7.2'!H9</f>
        <v>20000000</v>
      </c>
      <c r="H125" s="85">
        <f>+'P7.2'!I9</f>
        <v>20000000</v>
      </c>
      <c r="I125" s="85">
        <f>+'P7.2'!J9</f>
        <v>20000000</v>
      </c>
      <c r="J125" s="85">
        <f>+'P7.2'!K9</f>
        <v>20000000</v>
      </c>
      <c r="K125" s="85">
        <f>+'P7.2'!L9</f>
        <v>20000000</v>
      </c>
      <c r="L125" s="85">
        <f>+'P7.2'!M9</f>
        <v>20000000</v>
      </c>
      <c r="M125" s="85">
        <f>+'P7.2'!N9</f>
        <v>20000000</v>
      </c>
      <c r="N125" s="85">
        <f>+'P7.2'!O9</f>
        <v>20000000</v>
      </c>
      <c r="O125" s="85">
        <f>+'P7.2'!P9</f>
        <v>20000000</v>
      </c>
      <c r="P125" s="85">
        <f>+'P7.2'!Q9</f>
        <v>20000000</v>
      </c>
      <c r="Q125" s="85">
        <f>+'P7.2'!R9</f>
        <v>20000000</v>
      </c>
      <c r="R125" s="85">
        <f>+'P7.2'!S9</f>
        <v>20000000</v>
      </c>
      <c r="S125" s="85">
        <f>+'P7.2'!T9</f>
        <v>20000000</v>
      </c>
      <c r="T125" s="85">
        <f>+'P7.2'!U9</f>
        <v>20000000</v>
      </c>
      <c r="U125" s="85">
        <f>+'P7.2'!V9</f>
        <v>20000000</v>
      </c>
      <c r="V125" s="63">
        <f t="shared" si="32"/>
        <v>820000000</v>
      </c>
    </row>
    <row r="126" spans="2:24" ht="27" customHeight="1" x14ac:dyDescent="0.2">
      <c r="B126" s="12" t="s">
        <v>477</v>
      </c>
      <c r="C126" s="85">
        <f>+'P7.2'!D10</f>
        <v>0</v>
      </c>
      <c r="D126" s="85">
        <f>+'P7.2'!E10</f>
        <v>0</v>
      </c>
      <c r="E126" s="85">
        <f>+'P7.2'!F10</f>
        <v>0</v>
      </c>
      <c r="F126" s="85">
        <f>+'P7.2'!G10</f>
        <v>120000000</v>
      </c>
      <c r="G126" s="85">
        <f>+'P7.2'!H10</f>
        <v>120000000</v>
      </c>
      <c r="H126" s="85">
        <f>+'P7.2'!I10</f>
        <v>120000000</v>
      </c>
      <c r="I126" s="85">
        <f>+'P7.2'!J10</f>
        <v>0</v>
      </c>
      <c r="J126" s="85">
        <f>+'P7.2'!K10</f>
        <v>0</v>
      </c>
      <c r="K126" s="85">
        <f>+'P7.2'!L10</f>
        <v>0</v>
      </c>
      <c r="L126" s="85">
        <f>+'P7.2'!M10</f>
        <v>0</v>
      </c>
      <c r="M126" s="85">
        <f>+'P7.2'!N10</f>
        <v>0</v>
      </c>
      <c r="N126" s="85">
        <f>+'P7.2'!O10</f>
        <v>0</v>
      </c>
      <c r="O126" s="85">
        <f>+'P7.2'!P10</f>
        <v>0</v>
      </c>
      <c r="P126" s="85">
        <f>+'P7.2'!Q10</f>
        <v>0</v>
      </c>
      <c r="Q126" s="85">
        <f>+'P7.2'!R10</f>
        <v>0</v>
      </c>
      <c r="R126" s="85">
        <f>+'P7.2'!S10</f>
        <v>0</v>
      </c>
      <c r="S126" s="85">
        <f>+'P7.2'!T10</f>
        <v>0</v>
      </c>
      <c r="T126" s="85">
        <f>+'P7.2'!U10</f>
        <v>0</v>
      </c>
      <c r="U126" s="85">
        <f>+'P7.2'!V10</f>
        <v>0</v>
      </c>
      <c r="V126" s="63">
        <f t="shared" si="32"/>
        <v>360000000</v>
      </c>
    </row>
    <row r="127" spans="2:24" ht="26.25" customHeight="1" x14ac:dyDescent="0.2">
      <c r="B127" s="12" t="s">
        <v>478</v>
      </c>
      <c r="C127" s="85">
        <f>+'P7.2'!D11</f>
        <v>0</v>
      </c>
      <c r="D127" s="85">
        <f>+'P7.2'!E11</f>
        <v>0</v>
      </c>
      <c r="E127" s="85">
        <f>+'P7.2'!F11</f>
        <v>0</v>
      </c>
      <c r="F127" s="85">
        <f>+'P7.2'!G11</f>
        <v>286283302</v>
      </c>
      <c r="G127" s="85">
        <f>+'P7.2'!H11</f>
        <v>286283302</v>
      </c>
      <c r="H127" s="85">
        <f>+'P7.2'!I11</f>
        <v>286283302</v>
      </c>
      <c r="I127" s="85" t="str">
        <f>+'P7.2'!J11</f>
        <v>Presupuesto relativo</v>
      </c>
      <c r="J127" s="85" t="str">
        <f>+'P7.2'!K11</f>
        <v>Presupuesto relativo</v>
      </c>
      <c r="K127" s="85" t="str">
        <f>+'P7.2'!L11</f>
        <v>Presupuesto relativo</v>
      </c>
      <c r="L127" s="85" t="str">
        <f>+'P7.2'!M11</f>
        <v>Presupuesto relativo</v>
      </c>
      <c r="M127" s="85" t="str">
        <f>+'P7.2'!N11</f>
        <v>Presupuesto relativo</v>
      </c>
      <c r="N127" s="85" t="str">
        <f>+'P7.2'!O11</f>
        <v>Presupuesto relativo</v>
      </c>
      <c r="O127" s="85" t="str">
        <f>+'P7.2'!P11</f>
        <v>Presupuesto relativo</v>
      </c>
      <c r="P127" s="85" t="str">
        <f>+'P7.2'!Q11</f>
        <v>Presupuesto relativo</v>
      </c>
      <c r="Q127" s="85">
        <f>+'P7.2'!R11</f>
        <v>0</v>
      </c>
      <c r="R127" s="85">
        <f>+'P7.2'!S11</f>
        <v>0</v>
      </c>
      <c r="S127" s="85">
        <f>+'P7.2'!T11</f>
        <v>0</v>
      </c>
      <c r="T127" s="85">
        <f>+'P7.2'!U11</f>
        <v>0</v>
      </c>
      <c r="U127" s="85">
        <f>+'P7.2'!V11</f>
        <v>0</v>
      </c>
      <c r="V127" s="63">
        <f t="shared" si="32"/>
        <v>858849906</v>
      </c>
    </row>
    <row r="128" spans="2:24" ht="51.75" customHeight="1" x14ac:dyDescent="0.2">
      <c r="B128" s="12" t="s">
        <v>479</v>
      </c>
      <c r="C128" s="85">
        <f>+'P7.2'!D12</f>
        <v>0</v>
      </c>
      <c r="D128" s="85">
        <f>+'P7.2'!E12</f>
        <v>0</v>
      </c>
      <c r="E128" s="85">
        <f>+'P7.2'!F12</f>
        <v>0</v>
      </c>
      <c r="F128" s="85">
        <f>+'P7.2'!G12</f>
        <v>850000000</v>
      </c>
      <c r="G128" s="85">
        <f>+'P7.2'!H12</f>
        <v>850000000</v>
      </c>
      <c r="H128" s="85">
        <f>+'P7.2'!I12</f>
        <v>850000000</v>
      </c>
      <c r="I128" s="85">
        <f>+'P7.2'!J12</f>
        <v>850000000</v>
      </c>
      <c r="J128" s="85">
        <f>+'P7.2'!K12</f>
        <v>850000000</v>
      </c>
      <c r="K128" s="85">
        <f>+'P7.2'!L12</f>
        <v>850000000</v>
      </c>
      <c r="L128" s="85">
        <f>+'P7.2'!M12</f>
        <v>850000000</v>
      </c>
      <c r="M128" s="85">
        <f>+'P7.2'!N12</f>
        <v>850000000</v>
      </c>
      <c r="N128" s="85">
        <f>+'P7.2'!O12</f>
        <v>850000000</v>
      </c>
      <c r="O128" s="85">
        <f>+'P7.2'!P12</f>
        <v>850000000</v>
      </c>
      <c r="P128" s="85">
        <f>+'P7.2'!Q12</f>
        <v>850000000</v>
      </c>
      <c r="Q128" s="85">
        <f>+'P7.2'!R12</f>
        <v>850000000</v>
      </c>
      <c r="R128" s="85">
        <f>+'P7.2'!S12</f>
        <v>850000000</v>
      </c>
      <c r="S128" s="85">
        <f>+'P7.2'!T12</f>
        <v>850000000</v>
      </c>
      <c r="T128" s="85">
        <f>+'P7.2'!U12</f>
        <v>850000000</v>
      </c>
      <c r="U128" s="85">
        <f>+'P7.2'!V12</f>
        <v>850000000</v>
      </c>
      <c r="V128" s="63">
        <f t="shared" si="32"/>
        <v>13600000000</v>
      </c>
    </row>
    <row r="129" spans="2:24" s="88" customFormat="1" ht="14.25" customHeight="1" x14ac:dyDescent="0.2">
      <c r="B129" s="8" t="s">
        <v>26</v>
      </c>
      <c r="C129" s="180">
        <f>+C130+C138</f>
        <v>33810876</v>
      </c>
      <c r="D129" s="180">
        <f t="shared" ref="D129:U129" si="34">+D130+D138</f>
        <v>491218428</v>
      </c>
      <c r="E129" s="180">
        <f t="shared" si="34"/>
        <v>677518219.5</v>
      </c>
      <c r="F129" s="180">
        <f t="shared" si="34"/>
        <v>839790129.375</v>
      </c>
      <c r="G129" s="180">
        <f t="shared" si="34"/>
        <v>1227459819.375</v>
      </c>
      <c r="H129" s="180">
        <f t="shared" si="34"/>
        <v>1007349151.875</v>
      </c>
      <c r="I129" s="180">
        <f t="shared" si="34"/>
        <v>1007349151.875</v>
      </c>
      <c r="J129" s="180">
        <f t="shared" si="34"/>
        <v>898259675.5</v>
      </c>
      <c r="K129" s="180">
        <f t="shared" si="34"/>
        <v>898259675.5</v>
      </c>
      <c r="L129" s="180">
        <f t="shared" si="34"/>
        <v>898259675.5</v>
      </c>
      <c r="M129" s="180">
        <f t="shared" si="34"/>
        <v>1007349151.875</v>
      </c>
      <c r="N129" s="180">
        <f t="shared" si="34"/>
        <v>898259675.5</v>
      </c>
      <c r="O129" s="180">
        <f t="shared" si="34"/>
        <v>898259675.5</v>
      </c>
      <c r="P129" s="180">
        <f t="shared" si="34"/>
        <v>694400861.5</v>
      </c>
      <c r="Q129" s="180">
        <f t="shared" si="34"/>
        <v>803490337.875</v>
      </c>
      <c r="R129" s="180">
        <f t="shared" si="34"/>
        <v>694400861.5</v>
      </c>
      <c r="S129" s="180">
        <f t="shared" si="34"/>
        <v>694400861.5</v>
      </c>
      <c r="T129" s="180">
        <f t="shared" si="34"/>
        <v>694400861.5</v>
      </c>
      <c r="U129" s="180">
        <f t="shared" si="34"/>
        <v>803490337.875</v>
      </c>
      <c r="V129" s="179">
        <f>+V130+V138</f>
        <v>15167727427.125</v>
      </c>
      <c r="W129" s="238">
        <f>SUM(C129:U129)</f>
        <v>15167727427.125</v>
      </c>
      <c r="X129" s="237">
        <f>+V129-W129</f>
        <v>0</v>
      </c>
    </row>
    <row r="130" spans="2:24" s="88" customFormat="1" ht="17.25" customHeight="1" x14ac:dyDescent="0.2">
      <c r="B130" s="9" t="s">
        <v>27</v>
      </c>
      <c r="C130" s="65">
        <f t="shared" ref="C130:U130" si="35">SUM(C131:C137)</f>
        <v>0</v>
      </c>
      <c r="D130" s="65">
        <f t="shared" si="35"/>
        <v>457407552</v>
      </c>
      <c r="E130" s="65">
        <f t="shared" si="35"/>
        <v>643707343.5</v>
      </c>
      <c r="F130" s="65">
        <f t="shared" si="35"/>
        <v>805979253.375</v>
      </c>
      <c r="G130" s="65">
        <f t="shared" si="35"/>
        <v>805979253.375</v>
      </c>
      <c r="H130" s="65">
        <f t="shared" si="35"/>
        <v>619679461.875</v>
      </c>
      <c r="I130" s="65">
        <f t="shared" si="35"/>
        <v>619679461.875</v>
      </c>
      <c r="J130" s="65">
        <f t="shared" si="35"/>
        <v>510589985.5</v>
      </c>
      <c r="K130" s="65">
        <f t="shared" si="35"/>
        <v>510589985.5</v>
      </c>
      <c r="L130" s="65">
        <f t="shared" si="35"/>
        <v>510589985.5</v>
      </c>
      <c r="M130" s="65">
        <f t="shared" si="35"/>
        <v>619679461.875</v>
      </c>
      <c r="N130" s="65">
        <f t="shared" si="35"/>
        <v>510589985.5</v>
      </c>
      <c r="O130" s="65">
        <f t="shared" si="35"/>
        <v>510589985.5</v>
      </c>
      <c r="P130" s="65">
        <f t="shared" si="35"/>
        <v>510589985.5</v>
      </c>
      <c r="Q130" s="65">
        <f t="shared" si="35"/>
        <v>619679461.875</v>
      </c>
      <c r="R130" s="65">
        <f t="shared" si="35"/>
        <v>510589985.5</v>
      </c>
      <c r="S130" s="65">
        <f t="shared" si="35"/>
        <v>510589985.5</v>
      </c>
      <c r="T130" s="65">
        <f t="shared" si="35"/>
        <v>510589985.5</v>
      </c>
      <c r="U130" s="65">
        <f t="shared" si="35"/>
        <v>619679461.875</v>
      </c>
      <c r="V130" s="65">
        <f>SUM(V131:V137)</f>
        <v>10406780581.125</v>
      </c>
    </row>
    <row r="131" spans="2:24" ht="24" x14ac:dyDescent="0.2">
      <c r="B131" s="12" t="s">
        <v>487</v>
      </c>
      <c r="C131" s="85">
        <f>+'P8.1'!D8</f>
        <v>0</v>
      </c>
      <c r="D131" s="85">
        <f>+'P8.1'!E8</f>
        <v>104000451</v>
      </c>
      <c r="E131" s="85">
        <f>+'P8.1'!F8</f>
        <v>104000451</v>
      </c>
      <c r="F131" s="85">
        <f>+'P8.1'!G8</f>
        <v>0</v>
      </c>
      <c r="G131" s="85">
        <f>+'P8.1'!H8</f>
        <v>0</v>
      </c>
      <c r="H131" s="85">
        <f>+'P8.1'!I8</f>
        <v>0</v>
      </c>
      <c r="I131" s="85">
        <f>+'P8.1'!J8</f>
        <v>0</v>
      </c>
      <c r="J131" s="85">
        <f>+'P8.1'!K8</f>
        <v>0</v>
      </c>
      <c r="K131" s="85">
        <f>+'P8.1'!L8</f>
        <v>0</v>
      </c>
      <c r="L131" s="85">
        <f>+'P8.1'!M8</f>
        <v>0</v>
      </c>
      <c r="M131" s="85">
        <f>+'P8.1'!N8</f>
        <v>0</v>
      </c>
      <c r="N131" s="85">
        <f>+'P8.1'!O8</f>
        <v>0</v>
      </c>
      <c r="O131" s="85">
        <f>+'P8.1'!P8</f>
        <v>0</v>
      </c>
      <c r="P131" s="85">
        <f>+'P8.1'!Q8</f>
        <v>0</v>
      </c>
      <c r="Q131" s="85">
        <f>+'P8.1'!R8</f>
        <v>0</v>
      </c>
      <c r="R131" s="85">
        <f>+'P8.1'!S8</f>
        <v>0</v>
      </c>
      <c r="S131" s="85">
        <f>+'P8.1'!T8</f>
        <v>0</v>
      </c>
      <c r="T131" s="85">
        <f>+'P8.1'!U8</f>
        <v>0</v>
      </c>
      <c r="U131" s="85">
        <f>+'P8.1'!V8</f>
        <v>0</v>
      </c>
      <c r="V131" s="63">
        <f t="shared" ref="V131:V141" si="36">SUM(C131:U131)</f>
        <v>208000902</v>
      </c>
    </row>
    <row r="132" spans="2:24" ht="24" x14ac:dyDescent="0.2">
      <c r="B132" s="12" t="s">
        <v>488</v>
      </c>
      <c r="C132" s="85">
        <f>+'P8.1'!D9</f>
        <v>0</v>
      </c>
      <c r="D132" s="85">
        <f>+'P8.1'!E9</f>
        <v>353407101</v>
      </c>
      <c r="E132" s="85">
        <f>+'P8.1'!F9</f>
        <v>353407101</v>
      </c>
      <c r="F132" s="85">
        <f>+'P8.1'!G9</f>
        <v>353407101</v>
      </c>
      <c r="G132" s="85">
        <f>+'P8.1'!H9</f>
        <v>353407101</v>
      </c>
      <c r="H132" s="85">
        <f>+'P8.1'!I9</f>
        <v>353407101</v>
      </c>
      <c r="I132" s="85">
        <f>+'P8.1'!J9</f>
        <v>353407101</v>
      </c>
      <c r="J132" s="85">
        <f>+'P8.1'!K9</f>
        <v>353407101</v>
      </c>
      <c r="K132" s="85">
        <f>+'P8.1'!L9</f>
        <v>353407101</v>
      </c>
      <c r="L132" s="85">
        <f>+'P8.1'!M9</f>
        <v>353407101</v>
      </c>
      <c r="M132" s="85">
        <f>+'P8.1'!N9</f>
        <v>353407101</v>
      </c>
      <c r="N132" s="85">
        <f>+'P8.1'!O9</f>
        <v>353407101</v>
      </c>
      <c r="O132" s="85">
        <f>+'P8.1'!P9</f>
        <v>353407101</v>
      </c>
      <c r="P132" s="85">
        <f>+'P8.1'!Q9</f>
        <v>353407101</v>
      </c>
      <c r="Q132" s="85">
        <f>+'P8.1'!R9</f>
        <v>353407101</v>
      </c>
      <c r="R132" s="85">
        <f>+'P8.1'!S9</f>
        <v>353407101</v>
      </c>
      <c r="S132" s="85">
        <f>+'P8.1'!T9</f>
        <v>353407101</v>
      </c>
      <c r="T132" s="85">
        <f>+'P8.1'!U9</f>
        <v>353407101</v>
      </c>
      <c r="U132" s="85">
        <f>+'P8.1'!V9</f>
        <v>353407101</v>
      </c>
      <c r="V132" s="63">
        <f t="shared" si="36"/>
        <v>6361327818</v>
      </c>
    </row>
    <row r="133" spans="2:24" ht="36" x14ac:dyDescent="0.2">
      <c r="B133" s="12" t="s">
        <v>489</v>
      </c>
      <c r="C133" s="85">
        <f>+'P8.1'!D10</f>
        <v>0</v>
      </c>
      <c r="D133" s="85">
        <f>+'P8.1'!E10</f>
        <v>0</v>
      </c>
      <c r="E133" s="85">
        <f>+'P8.1'!F10</f>
        <v>186299791.5</v>
      </c>
      <c r="F133" s="85">
        <f>+'P8.1'!G10</f>
        <v>186299791.5</v>
      </c>
      <c r="G133" s="85">
        <f>+'P8.1'!H10</f>
        <v>186299791.5</v>
      </c>
      <c r="H133" s="85">
        <f>+'P8.1'!I10</f>
        <v>0</v>
      </c>
      <c r="I133" s="85">
        <f>+'P8.1'!J10</f>
        <v>0</v>
      </c>
      <c r="J133" s="85">
        <f>+'P8.1'!K10</f>
        <v>0</v>
      </c>
      <c r="K133" s="85">
        <f>+'P8.1'!L10</f>
        <v>0</v>
      </c>
      <c r="L133" s="85">
        <f>+'P8.1'!M10</f>
        <v>0</v>
      </c>
      <c r="M133" s="85">
        <f>+'P8.1'!N10</f>
        <v>0</v>
      </c>
      <c r="N133" s="85">
        <f>+'P8.1'!O10</f>
        <v>0</v>
      </c>
      <c r="O133" s="85">
        <f>+'P8.1'!P10</f>
        <v>0</v>
      </c>
      <c r="P133" s="85">
        <f>+'P8.1'!Q10</f>
        <v>0</v>
      </c>
      <c r="Q133" s="85">
        <f>+'P8.1'!R10</f>
        <v>0</v>
      </c>
      <c r="R133" s="85">
        <f>+'P8.1'!S10</f>
        <v>0</v>
      </c>
      <c r="S133" s="85">
        <f>+'P8.1'!T10</f>
        <v>0</v>
      </c>
      <c r="T133" s="85">
        <f>+'P8.1'!U10</f>
        <v>0</v>
      </c>
      <c r="U133" s="85">
        <f>+'P8.1'!V10</f>
        <v>0</v>
      </c>
      <c r="V133" s="63">
        <f t="shared" si="36"/>
        <v>558899374.5</v>
      </c>
    </row>
    <row r="134" spans="2:24" ht="24" x14ac:dyDescent="0.2">
      <c r="B134" s="12" t="s">
        <v>490</v>
      </c>
      <c r="C134" s="85">
        <f>+'P8.1'!D11</f>
        <v>0</v>
      </c>
      <c r="D134" s="85">
        <f>+'P8.1'!E11</f>
        <v>0</v>
      </c>
      <c r="E134" s="85">
        <f>+'P8.1'!F11</f>
        <v>0</v>
      </c>
      <c r="F134" s="85">
        <f>+'P8.1'!G11</f>
        <v>25813343.875</v>
      </c>
      <c r="G134" s="85">
        <f>+'P8.1'!H11</f>
        <v>25813343.875</v>
      </c>
      <c r="H134" s="85">
        <f>+'P8.1'!I11</f>
        <v>25813343.875</v>
      </c>
      <c r="I134" s="85">
        <f>+'P8.1'!J11</f>
        <v>25813343.875</v>
      </c>
      <c r="J134" s="85">
        <f>+'P8.1'!K11</f>
        <v>0</v>
      </c>
      <c r="K134" s="85">
        <f>+'P8.1'!L11</f>
        <v>0</v>
      </c>
      <c r="L134" s="85">
        <f>+'P8.1'!M11</f>
        <v>0</v>
      </c>
      <c r="M134" s="85">
        <f>+'P8.1'!N11</f>
        <v>25813343.875</v>
      </c>
      <c r="N134" s="85">
        <f>+'P8.1'!O11</f>
        <v>0</v>
      </c>
      <c r="O134" s="85">
        <f>+'P8.1'!P11</f>
        <v>0</v>
      </c>
      <c r="P134" s="85">
        <f>+'P8.1'!Q11</f>
        <v>0</v>
      </c>
      <c r="Q134" s="85">
        <f>+'P8.1'!R11</f>
        <v>25813343.875</v>
      </c>
      <c r="R134" s="85">
        <f>+'P8.1'!S11</f>
        <v>0</v>
      </c>
      <c r="S134" s="85">
        <f>+'P8.1'!T11</f>
        <v>0</v>
      </c>
      <c r="T134" s="85">
        <f>+'P8.1'!U11</f>
        <v>0</v>
      </c>
      <c r="U134" s="85">
        <f>+'P8.1'!V11</f>
        <v>25813343.875</v>
      </c>
      <c r="V134" s="63">
        <f t="shared" si="36"/>
        <v>180693407.125</v>
      </c>
    </row>
    <row r="135" spans="2:24" ht="24" x14ac:dyDescent="0.2">
      <c r="B135" s="12" t="s">
        <v>491</v>
      </c>
      <c r="C135" s="85">
        <f>+'P8.1'!D12</f>
        <v>0</v>
      </c>
      <c r="D135" s="85">
        <f>+'P8.1'!E12</f>
        <v>0</v>
      </c>
      <c r="E135" s="85">
        <f>+'P8.1'!F12</f>
        <v>0</v>
      </c>
      <c r="F135" s="85">
        <f>+'P8.1'!G12</f>
        <v>83276132.5</v>
      </c>
      <c r="G135" s="85">
        <f>+'P8.1'!H12</f>
        <v>83276132.5</v>
      </c>
      <c r="H135" s="85">
        <f>+'P8.1'!I12</f>
        <v>83276132.5</v>
      </c>
      <c r="I135" s="85">
        <f>+'P8.1'!J12</f>
        <v>83276132.5</v>
      </c>
      <c r="J135" s="85">
        <f>+'P8.1'!K12</f>
        <v>0</v>
      </c>
      <c r="K135" s="85">
        <f>+'P8.1'!L12</f>
        <v>0</v>
      </c>
      <c r="L135" s="85">
        <f>+'P8.1'!M12</f>
        <v>0</v>
      </c>
      <c r="M135" s="85">
        <f>+'P8.1'!N12</f>
        <v>83276132.5</v>
      </c>
      <c r="N135" s="85">
        <f>+'P8.1'!O12</f>
        <v>0</v>
      </c>
      <c r="O135" s="85">
        <f>+'P8.1'!P12</f>
        <v>0</v>
      </c>
      <c r="P135" s="85">
        <f>+'P8.1'!Q12</f>
        <v>0</v>
      </c>
      <c r="Q135" s="85">
        <f>+'P8.1'!R12</f>
        <v>83276132.5</v>
      </c>
      <c r="R135" s="85">
        <f>+'P8.1'!S12</f>
        <v>0</v>
      </c>
      <c r="S135" s="85">
        <f>+'P8.1'!T12</f>
        <v>0</v>
      </c>
      <c r="T135" s="85">
        <f>+'P8.1'!U12</f>
        <v>0</v>
      </c>
      <c r="U135" s="85">
        <f>+'P8.1'!V12</f>
        <v>83276132.5</v>
      </c>
      <c r="V135" s="63">
        <f t="shared" si="36"/>
        <v>582932927.5</v>
      </c>
    </row>
    <row r="136" spans="2:24" ht="24" x14ac:dyDescent="0.2">
      <c r="B136" s="12" t="s">
        <v>492</v>
      </c>
      <c r="C136" s="85">
        <f>+'P8.1'!D13</f>
        <v>0</v>
      </c>
      <c r="D136" s="85">
        <f>+'P8.1'!E13</f>
        <v>0</v>
      </c>
      <c r="E136" s="85">
        <f>+'P8.1'!F13</f>
        <v>0</v>
      </c>
      <c r="F136" s="85">
        <f>+'P8.1'!G13</f>
        <v>83276132.5</v>
      </c>
      <c r="G136" s="85">
        <f>+'P8.1'!H13</f>
        <v>83276132.5</v>
      </c>
      <c r="H136" s="85">
        <f>+'P8.1'!I13</f>
        <v>83276132.5</v>
      </c>
      <c r="I136" s="85">
        <f>+'P8.1'!J13</f>
        <v>83276132.5</v>
      </c>
      <c r="J136" s="85">
        <f>+'P8.1'!K13</f>
        <v>83276132.5</v>
      </c>
      <c r="K136" s="85">
        <f>+'P8.1'!L13</f>
        <v>83276132.5</v>
      </c>
      <c r="L136" s="85">
        <f>+'P8.1'!M13</f>
        <v>83276132.5</v>
      </c>
      <c r="M136" s="85">
        <f>+'P8.1'!N13</f>
        <v>83276132.5</v>
      </c>
      <c r="N136" s="85">
        <f>+'P8.1'!O13</f>
        <v>83276132.5</v>
      </c>
      <c r="O136" s="85">
        <f>+'P8.1'!P13</f>
        <v>83276132.5</v>
      </c>
      <c r="P136" s="85">
        <f>+'P8.1'!Q13</f>
        <v>83276132.5</v>
      </c>
      <c r="Q136" s="85">
        <f>+'P8.1'!R13</f>
        <v>83276132.5</v>
      </c>
      <c r="R136" s="85">
        <f>+'P8.1'!S13</f>
        <v>83276132.5</v>
      </c>
      <c r="S136" s="85">
        <f>+'P8.1'!T13</f>
        <v>83276132.5</v>
      </c>
      <c r="T136" s="85">
        <f>+'P8.1'!U13</f>
        <v>83276132.5</v>
      </c>
      <c r="U136" s="85">
        <f>+'P8.1'!V13</f>
        <v>83276132.5</v>
      </c>
      <c r="V136" s="63">
        <f t="shared" si="36"/>
        <v>1332418120</v>
      </c>
    </row>
    <row r="137" spans="2:24" ht="24" x14ac:dyDescent="0.2">
      <c r="B137" s="12" t="s">
        <v>493</v>
      </c>
      <c r="C137" s="85">
        <f>+'P8.1'!D14</f>
        <v>0</v>
      </c>
      <c r="D137" s="85">
        <f>+'P8.1'!E14</f>
        <v>0</v>
      </c>
      <c r="E137" s="85">
        <f>+'P8.1'!F14</f>
        <v>0</v>
      </c>
      <c r="F137" s="85">
        <f>+'P8.1'!G14</f>
        <v>73906752</v>
      </c>
      <c r="G137" s="85">
        <f>+'P8.1'!H14</f>
        <v>73906752</v>
      </c>
      <c r="H137" s="85">
        <f>+'P8.1'!I14</f>
        <v>73906752</v>
      </c>
      <c r="I137" s="85">
        <f>+'P8.1'!J14</f>
        <v>73906752</v>
      </c>
      <c r="J137" s="85">
        <f>+'P8.1'!K14</f>
        <v>73906752</v>
      </c>
      <c r="K137" s="85">
        <f>+'P8.1'!L14</f>
        <v>73906752</v>
      </c>
      <c r="L137" s="85">
        <f>+'P8.1'!M14</f>
        <v>73906752</v>
      </c>
      <c r="M137" s="85">
        <f>+'P8.1'!N14</f>
        <v>73906752</v>
      </c>
      <c r="N137" s="85">
        <f>+'P8.1'!O14</f>
        <v>73906752</v>
      </c>
      <c r="O137" s="85">
        <f>+'P8.1'!P14</f>
        <v>73906752</v>
      </c>
      <c r="P137" s="85">
        <f>+'P8.1'!Q14</f>
        <v>73906752</v>
      </c>
      <c r="Q137" s="85">
        <f>+'P8.1'!R14</f>
        <v>73906752</v>
      </c>
      <c r="R137" s="85">
        <f>+'P8.1'!S14</f>
        <v>73906752</v>
      </c>
      <c r="S137" s="85">
        <f>+'P8.1'!T14</f>
        <v>73906752</v>
      </c>
      <c r="T137" s="85">
        <f>+'P8.1'!U14</f>
        <v>73906752</v>
      </c>
      <c r="U137" s="85">
        <f>+'P8.1'!V14</f>
        <v>73906752</v>
      </c>
      <c r="V137" s="63">
        <f t="shared" si="36"/>
        <v>1182508032</v>
      </c>
    </row>
    <row r="138" spans="2:24" s="88" customFormat="1" ht="17.25" customHeight="1" x14ac:dyDescent="0.2">
      <c r="B138" s="9" t="s">
        <v>28</v>
      </c>
      <c r="C138" s="65">
        <f t="shared" ref="C138:U138" si="37">SUM(C139:C141)</f>
        <v>33810876</v>
      </c>
      <c r="D138" s="65">
        <f t="shared" si="37"/>
        <v>33810876</v>
      </c>
      <c r="E138" s="65">
        <f t="shared" si="37"/>
        <v>33810876</v>
      </c>
      <c r="F138" s="65">
        <f t="shared" si="37"/>
        <v>33810876</v>
      </c>
      <c r="G138" s="65">
        <f t="shared" si="37"/>
        <v>421480566</v>
      </c>
      <c r="H138" s="65">
        <f t="shared" si="37"/>
        <v>387669690</v>
      </c>
      <c r="I138" s="65">
        <f t="shared" si="37"/>
        <v>387669690</v>
      </c>
      <c r="J138" s="65">
        <f t="shared" si="37"/>
        <v>387669690</v>
      </c>
      <c r="K138" s="65">
        <f t="shared" si="37"/>
        <v>387669690</v>
      </c>
      <c r="L138" s="65">
        <f t="shared" si="37"/>
        <v>387669690</v>
      </c>
      <c r="M138" s="65">
        <f t="shared" si="37"/>
        <v>387669690</v>
      </c>
      <c r="N138" s="65">
        <f t="shared" si="37"/>
        <v>387669690</v>
      </c>
      <c r="O138" s="65">
        <f t="shared" si="37"/>
        <v>387669690</v>
      </c>
      <c r="P138" s="65">
        <f t="shared" si="37"/>
        <v>183810876</v>
      </c>
      <c r="Q138" s="65">
        <f t="shared" si="37"/>
        <v>183810876</v>
      </c>
      <c r="R138" s="65">
        <f t="shared" si="37"/>
        <v>183810876</v>
      </c>
      <c r="S138" s="65">
        <f t="shared" si="37"/>
        <v>183810876</v>
      </c>
      <c r="T138" s="65">
        <f t="shared" si="37"/>
        <v>183810876</v>
      </c>
      <c r="U138" s="65">
        <f t="shared" si="37"/>
        <v>183810876</v>
      </c>
      <c r="V138" s="65">
        <f>SUM(V139:V141)</f>
        <v>4760946846</v>
      </c>
    </row>
    <row r="139" spans="2:24" ht="30" customHeight="1" x14ac:dyDescent="0.2">
      <c r="B139" s="12" t="s">
        <v>498</v>
      </c>
      <c r="C139" s="85">
        <f>+'P8.2'!D8</f>
        <v>0</v>
      </c>
      <c r="D139" s="85">
        <f>+'P8.2'!E8</f>
        <v>0</v>
      </c>
      <c r="E139" s="85">
        <f>+'P8.2'!F8</f>
        <v>0</v>
      </c>
      <c r="F139" s="85">
        <f>+'P8.2'!G8</f>
        <v>0</v>
      </c>
      <c r="G139" s="85">
        <f>+'P8.2'!H8</f>
        <v>203858814</v>
      </c>
      <c r="H139" s="85">
        <f>+'P8.2'!I8</f>
        <v>203858814</v>
      </c>
      <c r="I139" s="85">
        <f>+'P8.2'!J8</f>
        <v>203858814</v>
      </c>
      <c r="J139" s="85">
        <f>+'P8.2'!K8</f>
        <v>203858814</v>
      </c>
      <c r="K139" s="85">
        <f>+'P8.2'!L8</f>
        <v>203858814</v>
      </c>
      <c r="L139" s="85">
        <f>+'P8.2'!M8</f>
        <v>203858814</v>
      </c>
      <c r="M139" s="85">
        <f>+'P8.2'!N8</f>
        <v>203858814</v>
      </c>
      <c r="N139" s="85">
        <f>+'P8.2'!O8</f>
        <v>203858814</v>
      </c>
      <c r="O139" s="85">
        <f>+'P8.2'!P8</f>
        <v>203858814</v>
      </c>
      <c r="P139" s="85">
        <f>+'P8.2'!Q8</f>
        <v>0</v>
      </c>
      <c r="Q139" s="85">
        <f>+'P8.2'!R8</f>
        <v>0</v>
      </c>
      <c r="R139" s="85">
        <f>+'P8.2'!S8</f>
        <v>0</v>
      </c>
      <c r="S139" s="85">
        <f>+'P8.2'!T8</f>
        <v>0</v>
      </c>
      <c r="T139" s="85">
        <f>+'P8.2'!U8</f>
        <v>0</v>
      </c>
      <c r="U139" s="85">
        <f>+'P8.2'!V8</f>
        <v>0</v>
      </c>
      <c r="V139" s="63">
        <f t="shared" si="36"/>
        <v>1834729326</v>
      </c>
    </row>
    <row r="140" spans="2:24" ht="27.75" customHeight="1" x14ac:dyDescent="0.2">
      <c r="B140" s="12" t="s">
        <v>499</v>
      </c>
      <c r="C140" s="85">
        <f>+'P8.2'!D9</f>
        <v>0</v>
      </c>
      <c r="D140" s="85">
        <f>+'P8.2'!E9</f>
        <v>0</v>
      </c>
      <c r="E140" s="85">
        <f>+'P8.2'!F9</f>
        <v>0</v>
      </c>
      <c r="F140" s="85">
        <f>+'P8.2'!G9</f>
        <v>0</v>
      </c>
      <c r="G140" s="85">
        <f>+'P8.2'!H9</f>
        <v>183810876</v>
      </c>
      <c r="H140" s="85">
        <f>+'P8.2'!I9</f>
        <v>183810876</v>
      </c>
      <c r="I140" s="85">
        <f>+'P8.2'!J9</f>
        <v>183810876</v>
      </c>
      <c r="J140" s="85">
        <f>+'P8.2'!K9</f>
        <v>183810876</v>
      </c>
      <c r="K140" s="85">
        <f>+'P8.2'!L9</f>
        <v>183810876</v>
      </c>
      <c r="L140" s="85">
        <f>+'P8.2'!M9</f>
        <v>183810876</v>
      </c>
      <c r="M140" s="85">
        <f>+'P8.2'!N9</f>
        <v>183810876</v>
      </c>
      <c r="N140" s="85">
        <f>+'P8.2'!O9</f>
        <v>183810876</v>
      </c>
      <c r="O140" s="85">
        <f>+'P8.2'!P9</f>
        <v>183810876</v>
      </c>
      <c r="P140" s="85">
        <f>+'P8.2'!Q9</f>
        <v>183810876</v>
      </c>
      <c r="Q140" s="85">
        <f>+'P8.2'!R9</f>
        <v>183810876</v>
      </c>
      <c r="R140" s="85">
        <f>+'P8.2'!S9</f>
        <v>183810876</v>
      </c>
      <c r="S140" s="85">
        <f>+'P8.2'!T9</f>
        <v>183810876</v>
      </c>
      <c r="T140" s="85">
        <f>+'P8.2'!U9</f>
        <v>183810876</v>
      </c>
      <c r="U140" s="85">
        <f>+'P8.2'!V9</f>
        <v>183810876</v>
      </c>
      <c r="V140" s="63">
        <f t="shared" si="36"/>
        <v>2757163140</v>
      </c>
    </row>
    <row r="141" spans="2:24" ht="13.5" customHeight="1" x14ac:dyDescent="0.2">
      <c r="B141" s="12" t="s">
        <v>500</v>
      </c>
      <c r="C141" s="85">
        <f>+'P8.2'!D10</f>
        <v>33810876</v>
      </c>
      <c r="D141" s="85">
        <f>+'P8.2'!E10</f>
        <v>33810876</v>
      </c>
      <c r="E141" s="85">
        <f>+'P8.2'!F10</f>
        <v>33810876</v>
      </c>
      <c r="F141" s="85">
        <f>+'P8.2'!G10</f>
        <v>33810876</v>
      </c>
      <c r="G141" s="85">
        <f>+'P8.2'!H10</f>
        <v>33810876</v>
      </c>
      <c r="H141" s="85">
        <f>+'P8.2'!I10</f>
        <v>0</v>
      </c>
      <c r="I141" s="85">
        <f>+'P8.2'!J10</f>
        <v>0</v>
      </c>
      <c r="J141" s="85">
        <f>+'P8.2'!K10</f>
        <v>0</v>
      </c>
      <c r="K141" s="85">
        <f>+'P8.2'!L10</f>
        <v>0</v>
      </c>
      <c r="L141" s="85">
        <f>+'P8.2'!M10</f>
        <v>0</v>
      </c>
      <c r="M141" s="85">
        <f>+'P8.2'!N10</f>
        <v>0</v>
      </c>
      <c r="N141" s="85">
        <f>+'P8.2'!O10</f>
        <v>0</v>
      </c>
      <c r="O141" s="85">
        <f>+'P8.2'!P10</f>
        <v>0</v>
      </c>
      <c r="P141" s="85">
        <f>+'P8.2'!Q10</f>
        <v>0</v>
      </c>
      <c r="Q141" s="85">
        <f>+'P8.2'!R10</f>
        <v>0</v>
      </c>
      <c r="R141" s="85">
        <f>+'P8.2'!S10</f>
        <v>0</v>
      </c>
      <c r="S141" s="85">
        <f>+'P8.2'!T10</f>
        <v>0</v>
      </c>
      <c r="T141" s="85">
        <f>+'P8.2'!U10</f>
        <v>0</v>
      </c>
      <c r="U141" s="85">
        <f>+'P8.2'!V10</f>
        <v>0</v>
      </c>
      <c r="V141" s="63">
        <f t="shared" si="36"/>
        <v>169054380</v>
      </c>
    </row>
    <row r="142" spans="2:24" s="88" customFormat="1" ht="15.75" customHeight="1" x14ac:dyDescent="0.2">
      <c r="B142" s="8" t="s">
        <v>29</v>
      </c>
      <c r="C142" s="65">
        <f t="shared" ref="C142:U142" si="38">+C143+C147+C152+C155</f>
        <v>0</v>
      </c>
      <c r="D142" s="65">
        <f t="shared" si="38"/>
        <v>0</v>
      </c>
      <c r="E142" s="65">
        <f t="shared" si="38"/>
        <v>89782914</v>
      </c>
      <c r="F142" s="65">
        <f t="shared" si="38"/>
        <v>816982929</v>
      </c>
      <c r="G142" s="65">
        <f t="shared" si="38"/>
        <v>1052759011.5</v>
      </c>
      <c r="H142" s="65">
        <f t="shared" si="38"/>
        <v>1228866225.5</v>
      </c>
      <c r="I142" s="65">
        <f t="shared" si="38"/>
        <v>869296724.5</v>
      </c>
      <c r="J142" s="65">
        <f t="shared" si="38"/>
        <v>437918708</v>
      </c>
      <c r="K142" s="65">
        <f t="shared" si="38"/>
        <v>297991505</v>
      </c>
      <c r="L142" s="65">
        <f t="shared" si="38"/>
        <v>240216324.5</v>
      </c>
      <c r="M142" s="65">
        <f t="shared" si="38"/>
        <v>180216324.5</v>
      </c>
      <c r="N142" s="65">
        <f t="shared" si="38"/>
        <v>180216324.5</v>
      </c>
      <c r="O142" s="65">
        <f t="shared" si="38"/>
        <v>180216324.5</v>
      </c>
      <c r="P142" s="65">
        <f t="shared" si="38"/>
        <v>61619442</v>
      </c>
      <c r="Q142" s="65">
        <f t="shared" si="38"/>
        <v>61619442</v>
      </c>
      <c r="R142" s="65">
        <f t="shared" si="38"/>
        <v>61619442</v>
      </c>
      <c r="S142" s="65">
        <f t="shared" si="38"/>
        <v>61619442</v>
      </c>
      <c r="T142" s="65">
        <f t="shared" si="38"/>
        <v>61619442</v>
      </c>
      <c r="U142" s="65">
        <f t="shared" si="38"/>
        <v>61619442</v>
      </c>
      <c r="V142" s="65">
        <f>+V143+V147+V152+V155</f>
        <v>5944179967.5</v>
      </c>
    </row>
    <row r="143" spans="2:24" s="88" customFormat="1" ht="17.25" customHeight="1" x14ac:dyDescent="0.2">
      <c r="B143" s="9" t="s">
        <v>30</v>
      </c>
      <c r="C143" s="65">
        <f t="shared" ref="C143:U143" si="39">SUM(C144:C146)</f>
        <v>0</v>
      </c>
      <c r="D143" s="65">
        <f t="shared" si="39"/>
        <v>0</v>
      </c>
      <c r="E143" s="65">
        <f t="shared" si="39"/>
        <v>0</v>
      </c>
      <c r="F143" s="65">
        <f t="shared" si="39"/>
        <v>0</v>
      </c>
      <c r="G143" s="65">
        <f t="shared" si="39"/>
        <v>178000902</v>
      </c>
      <c r="H143" s="65">
        <f t="shared" si="39"/>
        <v>333927654</v>
      </c>
      <c r="I143" s="65">
        <f t="shared" si="39"/>
        <v>155926752</v>
      </c>
      <c r="J143" s="65">
        <f t="shared" si="39"/>
        <v>155926752</v>
      </c>
      <c r="K143" s="65">
        <f t="shared" si="39"/>
        <v>60000000</v>
      </c>
      <c r="L143" s="65">
        <f t="shared" si="39"/>
        <v>60000000</v>
      </c>
      <c r="M143" s="65">
        <f t="shared" si="39"/>
        <v>0</v>
      </c>
      <c r="N143" s="65">
        <f t="shared" si="39"/>
        <v>0</v>
      </c>
      <c r="O143" s="65">
        <f t="shared" si="39"/>
        <v>0</v>
      </c>
      <c r="P143" s="65">
        <f t="shared" si="39"/>
        <v>0</v>
      </c>
      <c r="Q143" s="65">
        <f t="shared" si="39"/>
        <v>0</v>
      </c>
      <c r="R143" s="65">
        <f t="shared" si="39"/>
        <v>0</v>
      </c>
      <c r="S143" s="65">
        <f t="shared" si="39"/>
        <v>0</v>
      </c>
      <c r="T143" s="65">
        <f t="shared" si="39"/>
        <v>0</v>
      </c>
      <c r="U143" s="65">
        <f t="shared" si="39"/>
        <v>0</v>
      </c>
      <c r="V143" s="65">
        <f>SUM(V144:V146)</f>
        <v>943782060</v>
      </c>
    </row>
    <row r="144" spans="2:24" ht="36" x14ac:dyDescent="0.2">
      <c r="B144" s="12" t="s">
        <v>511</v>
      </c>
      <c r="C144" s="85">
        <f>+'P9.1'!D8</f>
        <v>0</v>
      </c>
      <c r="D144" s="85">
        <f>+'P9.1'!E8</f>
        <v>0</v>
      </c>
      <c r="E144" s="85">
        <f>+'P9.1'!F8</f>
        <v>0</v>
      </c>
      <c r="F144" s="85">
        <f>+'P9.1'!G8</f>
        <v>0</v>
      </c>
      <c r="G144" s="85">
        <f>+'P9.1'!H8</f>
        <v>178000902</v>
      </c>
      <c r="H144" s="85">
        <f>+'P9.1'!I8</f>
        <v>178000902</v>
      </c>
      <c r="I144" s="85" t="str">
        <f>+'P9.1'!J8</f>
        <v>Presupuesto relativo</v>
      </c>
      <c r="J144" s="85" t="str">
        <f>+'P9.1'!K8</f>
        <v>Presupuesto relativo</v>
      </c>
      <c r="K144" s="85" t="str">
        <f>+'P9.1'!L8</f>
        <v>Presupuesto relativo</v>
      </c>
      <c r="L144" s="85" t="str">
        <f>+'P9.1'!M8</f>
        <v>Presupuesto relativo</v>
      </c>
      <c r="M144" s="85" t="str">
        <f>+'P9.1'!N8</f>
        <v>Presupuesto relativo</v>
      </c>
      <c r="N144" s="85" t="str">
        <f>+'P9.1'!O8</f>
        <v>Presupuesto relativo</v>
      </c>
      <c r="O144" s="85" t="str">
        <f>+'P9.1'!P8</f>
        <v>Presupuesto relativo</v>
      </c>
      <c r="P144" s="85" t="str">
        <f>+'P9.1'!Q8</f>
        <v>Presupuesto relativo</v>
      </c>
      <c r="Q144" s="85" t="str">
        <f>+'P9.1'!R8</f>
        <v>Presupuesto relativo</v>
      </c>
      <c r="R144" s="85" t="str">
        <f>+'P9.1'!S8</f>
        <v>Presupuesto relativo</v>
      </c>
      <c r="S144" s="85" t="str">
        <f>+'P9.1'!T8</f>
        <v>Presupuesto relativo</v>
      </c>
      <c r="T144" s="85" t="str">
        <f>+'P9.1'!U8</f>
        <v>Presupuesto relativo</v>
      </c>
      <c r="U144" s="85" t="str">
        <f>+'P9.1'!V8</f>
        <v>Presupuesto relativo</v>
      </c>
      <c r="V144" s="63">
        <f t="shared" ref="V144:V159" si="40">SUM(C144:U144)</f>
        <v>356001804</v>
      </c>
    </row>
    <row r="145" spans="2:24" ht="29.25" customHeight="1" x14ac:dyDescent="0.2">
      <c r="B145" s="12" t="s">
        <v>512</v>
      </c>
      <c r="C145" s="85">
        <f>+'P9.1'!D9</f>
        <v>0</v>
      </c>
      <c r="D145" s="85">
        <f>+'P9.1'!E9</f>
        <v>0</v>
      </c>
      <c r="E145" s="85">
        <f>+'P9.1'!F9</f>
        <v>0</v>
      </c>
      <c r="F145" s="85">
        <f>+'P9.1'!G9</f>
        <v>0</v>
      </c>
      <c r="G145" s="85">
        <f>+'P9.1'!H9</f>
        <v>0</v>
      </c>
      <c r="H145" s="85">
        <f>+'P9.1'!I9</f>
        <v>95926752</v>
      </c>
      <c r="I145" s="85">
        <f>+'P9.1'!J9</f>
        <v>95926752</v>
      </c>
      <c r="J145" s="85">
        <f>+'P9.1'!K9</f>
        <v>95926752</v>
      </c>
      <c r="K145" s="85">
        <f>+'P9.1'!L9</f>
        <v>0</v>
      </c>
      <c r="L145" s="85">
        <f>+'P9.1'!M9</f>
        <v>0</v>
      </c>
      <c r="M145" s="85">
        <f>+'P9.1'!N9</f>
        <v>0</v>
      </c>
      <c r="N145" s="85">
        <f>+'P9.1'!O9</f>
        <v>0</v>
      </c>
      <c r="O145" s="85">
        <f>+'P9.1'!P9</f>
        <v>0</v>
      </c>
      <c r="P145" s="85">
        <f>+'P9.1'!Q9</f>
        <v>0</v>
      </c>
      <c r="Q145" s="85">
        <f>+'P9.1'!R9</f>
        <v>0</v>
      </c>
      <c r="R145" s="85">
        <f>+'P9.1'!S9</f>
        <v>0</v>
      </c>
      <c r="S145" s="85">
        <f>+'P9.1'!T9</f>
        <v>0</v>
      </c>
      <c r="T145" s="85">
        <f>+'P9.1'!U9</f>
        <v>0</v>
      </c>
      <c r="U145" s="85">
        <f>+'P9.1'!V9</f>
        <v>0</v>
      </c>
      <c r="V145" s="63">
        <f t="shared" si="40"/>
        <v>287780256</v>
      </c>
    </row>
    <row r="146" spans="2:24" ht="41.25" customHeight="1" x14ac:dyDescent="0.2">
      <c r="B146" s="12" t="s">
        <v>513</v>
      </c>
      <c r="C146" s="85">
        <f>+'P9.1'!D10</f>
        <v>0</v>
      </c>
      <c r="D146" s="85">
        <f>+'P9.1'!E10</f>
        <v>0</v>
      </c>
      <c r="E146" s="85">
        <f>+'P9.1'!F10</f>
        <v>0</v>
      </c>
      <c r="F146" s="85">
        <f>+'P9.1'!G10</f>
        <v>0</v>
      </c>
      <c r="G146" s="85">
        <f>+'P9.1'!H10</f>
        <v>0</v>
      </c>
      <c r="H146" s="85">
        <f>+'P9.1'!I10</f>
        <v>60000000</v>
      </c>
      <c r="I146" s="85">
        <f>+'P9.1'!J10</f>
        <v>60000000</v>
      </c>
      <c r="J146" s="85">
        <f>+'P9.1'!K10</f>
        <v>60000000</v>
      </c>
      <c r="K146" s="85">
        <f>+'P9.1'!L10</f>
        <v>60000000</v>
      </c>
      <c r="L146" s="85">
        <f>+'P9.1'!M10</f>
        <v>60000000</v>
      </c>
      <c r="M146" s="85" t="str">
        <f>+'P9.1'!N10</f>
        <v>Presupuesto relativo</v>
      </c>
      <c r="N146" s="85" t="str">
        <f>+'P9.1'!O10</f>
        <v>Presupuesto relativo</v>
      </c>
      <c r="O146" s="85" t="str">
        <f>+'P9.1'!P10</f>
        <v>Presupuesto relativo</v>
      </c>
      <c r="P146" s="85" t="str">
        <f>+'P9.1'!Q10</f>
        <v>Presupuesto relativo</v>
      </c>
      <c r="Q146" s="85" t="str">
        <f>+'P9.1'!R10</f>
        <v>Presupuesto relativo</v>
      </c>
      <c r="R146" s="85" t="str">
        <f>+'P9.1'!S10</f>
        <v>Presupuesto relativo</v>
      </c>
      <c r="S146" s="85" t="str">
        <f>+'P9.1'!T10</f>
        <v>Presupuesto relativo</v>
      </c>
      <c r="T146" s="85" t="str">
        <f>+'P9.1'!U10</f>
        <v>Presupuesto relativo</v>
      </c>
      <c r="U146" s="85" t="str">
        <f>+'P9.1'!V10</f>
        <v>Presupuesto relativo</v>
      </c>
      <c r="V146" s="63">
        <f t="shared" si="40"/>
        <v>300000000</v>
      </c>
    </row>
    <row r="147" spans="2:24" s="88" customFormat="1" x14ac:dyDescent="0.2">
      <c r="B147" s="9" t="s">
        <v>31</v>
      </c>
      <c r="C147" s="65">
        <f t="shared" ref="C147:U147" si="41">SUM(C148:C151)</f>
        <v>0</v>
      </c>
      <c r="D147" s="65">
        <f t="shared" si="41"/>
        <v>0</v>
      </c>
      <c r="E147" s="65">
        <f t="shared" si="41"/>
        <v>0</v>
      </c>
      <c r="F147" s="65">
        <f t="shared" si="41"/>
        <v>440011523</v>
      </c>
      <c r="G147" s="65">
        <f t="shared" si="41"/>
        <v>440011523</v>
      </c>
      <c r="H147" s="65">
        <f t="shared" si="41"/>
        <v>440011523</v>
      </c>
      <c r="I147" s="65">
        <f t="shared" si="41"/>
        <v>440011523</v>
      </c>
      <c r="J147" s="65">
        <f t="shared" si="41"/>
        <v>118596882.5</v>
      </c>
      <c r="K147" s="65">
        <f t="shared" si="41"/>
        <v>118596882.5</v>
      </c>
      <c r="L147" s="65">
        <f t="shared" si="41"/>
        <v>118596882.5</v>
      </c>
      <c r="M147" s="65">
        <f t="shared" si="41"/>
        <v>118596882.5</v>
      </c>
      <c r="N147" s="65">
        <f t="shared" si="41"/>
        <v>118596882.5</v>
      </c>
      <c r="O147" s="65">
        <f t="shared" si="41"/>
        <v>118596882.5</v>
      </c>
      <c r="P147" s="65">
        <f t="shared" si="41"/>
        <v>0</v>
      </c>
      <c r="Q147" s="65">
        <f t="shared" si="41"/>
        <v>0</v>
      </c>
      <c r="R147" s="65">
        <f t="shared" si="41"/>
        <v>0</v>
      </c>
      <c r="S147" s="65">
        <f t="shared" si="41"/>
        <v>0</v>
      </c>
      <c r="T147" s="65">
        <f t="shared" si="41"/>
        <v>0</v>
      </c>
      <c r="U147" s="65">
        <f t="shared" si="41"/>
        <v>0</v>
      </c>
      <c r="V147" s="65">
        <f>SUM(V148:V151)</f>
        <v>2471627387</v>
      </c>
    </row>
    <row r="148" spans="2:24" ht="24" x14ac:dyDescent="0.2">
      <c r="B148" s="12" t="s">
        <v>542</v>
      </c>
      <c r="C148" s="85">
        <f>+'P9.2'!D8</f>
        <v>0</v>
      </c>
      <c r="D148" s="85">
        <f>+'P9.2'!E8</f>
        <v>0</v>
      </c>
      <c r="E148" s="85">
        <f>+'P9.2'!F8</f>
        <v>0</v>
      </c>
      <c r="F148" s="85">
        <f>+'P9.2'!G8</f>
        <v>91926301</v>
      </c>
      <c r="G148" s="85">
        <f>+'P9.2'!H8</f>
        <v>91926301</v>
      </c>
      <c r="H148" s="85">
        <f>+'P9.2'!I8</f>
        <v>91926301</v>
      </c>
      <c r="I148" s="85">
        <f>+'P9.2'!J8</f>
        <v>91926301</v>
      </c>
      <c r="J148" s="85">
        <f>+'P9.2'!K8</f>
        <v>0</v>
      </c>
      <c r="K148" s="85">
        <f>+'P9.2'!L8</f>
        <v>0</v>
      </c>
      <c r="L148" s="85">
        <f>+'P9.2'!M8</f>
        <v>0</v>
      </c>
      <c r="M148" s="85">
        <f>+'P9.2'!N8</f>
        <v>0</v>
      </c>
      <c r="N148" s="85">
        <f>+'P9.2'!O8</f>
        <v>0</v>
      </c>
      <c r="O148" s="85">
        <f>+'P9.2'!P8</f>
        <v>0</v>
      </c>
      <c r="P148" s="85">
        <f>+'P9.2'!Q8</f>
        <v>0</v>
      </c>
      <c r="Q148" s="85">
        <f>+'P9.2'!R8</f>
        <v>0</v>
      </c>
      <c r="R148" s="85">
        <f>+'P9.2'!S8</f>
        <v>0</v>
      </c>
      <c r="S148" s="85">
        <f>+'P9.2'!T8</f>
        <v>0</v>
      </c>
      <c r="T148" s="85">
        <f>+'P9.2'!U8</f>
        <v>0</v>
      </c>
      <c r="U148" s="85">
        <f>+'P9.2'!V8</f>
        <v>0</v>
      </c>
      <c r="V148" s="63">
        <f t="shared" si="40"/>
        <v>367705204</v>
      </c>
    </row>
    <row r="149" spans="2:24" ht="37.5" customHeight="1" x14ac:dyDescent="0.2">
      <c r="B149" s="12" t="s">
        <v>514</v>
      </c>
      <c r="C149" s="85">
        <f>+'P9.2'!D9</f>
        <v>0</v>
      </c>
      <c r="D149" s="85">
        <f>+'P9.2'!E9</f>
        <v>0</v>
      </c>
      <c r="E149" s="85">
        <f>+'P9.2'!F9</f>
        <v>0</v>
      </c>
      <c r="F149" s="85">
        <f>+'P9.2'!G9</f>
        <v>110891457</v>
      </c>
      <c r="G149" s="85">
        <f>+'P9.2'!H9</f>
        <v>110891457</v>
      </c>
      <c r="H149" s="85">
        <f>+'P9.2'!I9</f>
        <v>110891457</v>
      </c>
      <c r="I149" s="85">
        <f>+'P9.2'!J9</f>
        <v>110891457</v>
      </c>
      <c r="J149" s="85">
        <f>+'P9.2'!K9</f>
        <v>0</v>
      </c>
      <c r="K149" s="85">
        <f>+'P9.2'!L9</f>
        <v>0</v>
      </c>
      <c r="L149" s="85">
        <f>+'P9.2'!M9</f>
        <v>0</v>
      </c>
      <c r="M149" s="85">
        <f>+'P9.2'!N9</f>
        <v>0</v>
      </c>
      <c r="N149" s="85">
        <f>+'P9.2'!O9</f>
        <v>0</v>
      </c>
      <c r="O149" s="85">
        <f>+'P9.2'!P9</f>
        <v>0</v>
      </c>
      <c r="P149" s="85">
        <f>+'P9.2'!Q9</f>
        <v>0</v>
      </c>
      <c r="Q149" s="85">
        <f>+'P9.2'!R9</f>
        <v>0</v>
      </c>
      <c r="R149" s="85">
        <f>+'P9.2'!S9</f>
        <v>0</v>
      </c>
      <c r="S149" s="85">
        <f>+'P9.2'!T9</f>
        <v>0</v>
      </c>
      <c r="T149" s="85">
        <f>+'P9.2'!U9</f>
        <v>0</v>
      </c>
      <c r="U149" s="85">
        <f>+'P9.2'!V9</f>
        <v>0</v>
      </c>
      <c r="V149" s="63">
        <f t="shared" si="40"/>
        <v>443565828</v>
      </c>
    </row>
    <row r="150" spans="2:24" ht="24" x14ac:dyDescent="0.2">
      <c r="B150" s="12" t="s">
        <v>515</v>
      </c>
      <c r="C150" s="85">
        <f>+'P9.2'!D10</f>
        <v>0</v>
      </c>
      <c r="D150" s="85">
        <f>+'P9.2'!E10</f>
        <v>0</v>
      </c>
      <c r="E150" s="85">
        <f>+'P9.2'!F10</f>
        <v>0</v>
      </c>
      <c r="F150" s="85">
        <f>+'P9.2'!G10</f>
        <v>118596882.5</v>
      </c>
      <c r="G150" s="85">
        <f>+'P9.2'!H10</f>
        <v>118596882.5</v>
      </c>
      <c r="H150" s="85">
        <f>+'P9.2'!I10</f>
        <v>118596882.5</v>
      </c>
      <c r="I150" s="85">
        <f>+'P9.2'!J10</f>
        <v>118596882.5</v>
      </c>
      <c r="J150" s="85">
        <f>+'P9.2'!K10</f>
        <v>118596882.5</v>
      </c>
      <c r="K150" s="85">
        <f>+'P9.2'!L10</f>
        <v>118596882.5</v>
      </c>
      <c r="L150" s="85">
        <f>+'P9.2'!M10</f>
        <v>118596882.5</v>
      </c>
      <c r="M150" s="85">
        <f>+'P9.2'!N10</f>
        <v>118596882.5</v>
      </c>
      <c r="N150" s="85">
        <f>+'P9.2'!O10</f>
        <v>118596882.5</v>
      </c>
      <c r="O150" s="85">
        <f>+'P9.2'!P10</f>
        <v>118596882.5</v>
      </c>
      <c r="P150" s="85">
        <f>+'P9.2'!Q10</f>
        <v>0</v>
      </c>
      <c r="Q150" s="85">
        <f>+'P9.2'!R10</f>
        <v>0</v>
      </c>
      <c r="R150" s="85">
        <f>+'P9.2'!S10</f>
        <v>0</v>
      </c>
      <c r="S150" s="85">
        <f>+'P9.2'!T10</f>
        <v>0</v>
      </c>
      <c r="T150" s="85">
        <f>+'P9.2'!U10</f>
        <v>0</v>
      </c>
      <c r="U150" s="85">
        <f>+'P9.2'!V10</f>
        <v>0</v>
      </c>
      <c r="V150" s="63">
        <f t="shared" si="40"/>
        <v>1185968825</v>
      </c>
    </row>
    <row r="151" spans="2:24" ht="27.75" customHeight="1" x14ac:dyDescent="0.2">
      <c r="B151" s="12" t="s">
        <v>543</v>
      </c>
      <c r="C151" s="85">
        <f>+'P9.2'!D11</f>
        <v>0</v>
      </c>
      <c r="D151" s="85">
        <f>+'P9.2'!E11</f>
        <v>0</v>
      </c>
      <c r="E151" s="85">
        <f>+'P9.2'!F11</f>
        <v>0</v>
      </c>
      <c r="F151" s="85">
        <f>+'P9.2'!G11</f>
        <v>118596882.5</v>
      </c>
      <c r="G151" s="85">
        <f>+'P9.2'!H11</f>
        <v>118596882.5</v>
      </c>
      <c r="H151" s="85">
        <f>+'P9.2'!I11</f>
        <v>118596882.5</v>
      </c>
      <c r="I151" s="85">
        <f>+'P9.2'!J11</f>
        <v>118596882.5</v>
      </c>
      <c r="J151" s="85">
        <f>+'P9.2'!K11</f>
        <v>0</v>
      </c>
      <c r="K151" s="85">
        <f>+'P9.2'!L11</f>
        <v>0</v>
      </c>
      <c r="L151" s="85">
        <f>+'P9.2'!M11</f>
        <v>0</v>
      </c>
      <c r="M151" s="85">
        <f>+'P9.2'!N11</f>
        <v>0</v>
      </c>
      <c r="N151" s="85">
        <f>+'P9.2'!O11</f>
        <v>0</v>
      </c>
      <c r="O151" s="85">
        <f>+'P9.2'!P11</f>
        <v>0</v>
      </c>
      <c r="P151" s="85">
        <f>+'P9.2'!Q11</f>
        <v>0</v>
      </c>
      <c r="Q151" s="85">
        <f>+'P9.2'!R11</f>
        <v>0</v>
      </c>
      <c r="R151" s="85">
        <f>+'P9.2'!S11</f>
        <v>0</v>
      </c>
      <c r="S151" s="85">
        <f>+'P9.2'!T11</f>
        <v>0</v>
      </c>
      <c r="T151" s="85">
        <f>+'P9.2'!U11</f>
        <v>0</v>
      </c>
      <c r="U151" s="85">
        <f>+'P9.2'!V11</f>
        <v>0</v>
      </c>
      <c r="V151" s="63">
        <f t="shared" si="40"/>
        <v>474387530</v>
      </c>
    </row>
    <row r="152" spans="2:24" s="88" customFormat="1" ht="16.5" customHeight="1" x14ac:dyDescent="0.2">
      <c r="B152" s="9" t="s">
        <v>32</v>
      </c>
      <c r="C152" s="65">
        <f t="shared" ref="C152:U152" si="42">SUM(C153:C154)</f>
        <v>0</v>
      </c>
      <c r="D152" s="65">
        <f t="shared" si="42"/>
        <v>0</v>
      </c>
      <c r="E152" s="65">
        <f t="shared" si="42"/>
        <v>0</v>
      </c>
      <c r="F152" s="65">
        <f t="shared" si="42"/>
        <v>0</v>
      </c>
      <c r="G152" s="65">
        <f t="shared" si="42"/>
        <v>57775180.5</v>
      </c>
      <c r="H152" s="65">
        <f t="shared" si="42"/>
        <v>167738556.5</v>
      </c>
      <c r="I152" s="65">
        <f t="shared" si="42"/>
        <v>167738556.5</v>
      </c>
      <c r="J152" s="65">
        <f t="shared" si="42"/>
        <v>57775180.5</v>
      </c>
      <c r="K152" s="65">
        <f t="shared" si="42"/>
        <v>57775180.5</v>
      </c>
      <c r="L152" s="65">
        <f t="shared" si="42"/>
        <v>0</v>
      </c>
      <c r="M152" s="65">
        <f t="shared" si="42"/>
        <v>0</v>
      </c>
      <c r="N152" s="65">
        <f t="shared" si="42"/>
        <v>0</v>
      </c>
      <c r="O152" s="65">
        <f t="shared" si="42"/>
        <v>0</v>
      </c>
      <c r="P152" s="65">
        <f t="shared" si="42"/>
        <v>0</v>
      </c>
      <c r="Q152" s="65">
        <f t="shared" si="42"/>
        <v>0</v>
      </c>
      <c r="R152" s="65">
        <f t="shared" si="42"/>
        <v>0</v>
      </c>
      <c r="S152" s="65">
        <f t="shared" si="42"/>
        <v>0</v>
      </c>
      <c r="T152" s="65">
        <f t="shared" si="42"/>
        <v>0</v>
      </c>
      <c r="U152" s="65">
        <f t="shared" si="42"/>
        <v>0</v>
      </c>
      <c r="V152" s="65">
        <f>SUM(V153:V154)</f>
        <v>508802654.5</v>
      </c>
    </row>
    <row r="153" spans="2:24" ht="24" x14ac:dyDescent="0.2">
      <c r="B153" s="12" t="s">
        <v>525</v>
      </c>
      <c r="C153" s="85">
        <f>+'P9.3'!D8</f>
        <v>0</v>
      </c>
      <c r="D153" s="85">
        <f>+'P9.3'!E8</f>
        <v>0</v>
      </c>
      <c r="E153" s="85">
        <f>+'P9.3'!F8</f>
        <v>0</v>
      </c>
      <c r="F153" s="85">
        <f>+'P9.3'!G8</f>
        <v>0</v>
      </c>
      <c r="G153" s="85">
        <f>+'P9.3'!H8</f>
        <v>0</v>
      </c>
      <c r="H153" s="85">
        <f>+'P9.3'!I8</f>
        <v>109963376</v>
      </c>
      <c r="I153" s="85">
        <f>+'P9.3'!J8</f>
        <v>109963376</v>
      </c>
      <c r="J153" s="85" t="str">
        <f>+'P9.3'!K8</f>
        <v>Presupuesto relativo</v>
      </c>
      <c r="K153" s="85">
        <f>+'P9.3'!L8</f>
        <v>0</v>
      </c>
      <c r="L153" s="85">
        <f>+'P9.3'!M8</f>
        <v>0</v>
      </c>
      <c r="M153" s="85" t="str">
        <f>+'P9.3'!N8</f>
        <v>Presupuesto relativo</v>
      </c>
      <c r="N153" s="85">
        <f>+'P9.3'!O8</f>
        <v>0</v>
      </c>
      <c r="O153" s="85">
        <f>+'P9.3'!P8</f>
        <v>0</v>
      </c>
      <c r="P153" s="85" t="str">
        <f>+'P9.3'!Q8</f>
        <v>Presupuesto relativo</v>
      </c>
      <c r="Q153" s="85">
        <f>+'P9.3'!R8</f>
        <v>0</v>
      </c>
      <c r="R153" s="85">
        <f>+'P9.3'!S8</f>
        <v>0</v>
      </c>
      <c r="S153" s="85">
        <f>+'P9.3'!T8</f>
        <v>0</v>
      </c>
      <c r="T153" s="85">
        <f>+'P9.3'!U8</f>
        <v>0</v>
      </c>
      <c r="U153" s="85">
        <f>+'P9.3'!V8</f>
        <v>0</v>
      </c>
      <c r="V153" s="63">
        <f t="shared" si="40"/>
        <v>219926752</v>
      </c>
    </row>
    <row r="154" spans="2:24" ht="24" x14ac:dyDescent="0.2">
      <c r="B154" s="12" t="s">
        <v>526</v>
      </c>
      <c r="C154" s="85">
        <f>+'P9.3'!D9</f>
        <v>0</v>
      </c>
      <c r="D154" s="85">
        <f>+'P9.3'!E9</f>
        <v>0</v>
      </c>
      <c r="E154" s="85">
        <f>+'P9.3'!F9</f>
        <v>0</v>
      </c>
      <c r="F154" s="85">
        <f>+'P9.3'!G9</f>
        <v>0</v>
      </c>
      <c r="G154" s="85">
        <f>+'P9.3'!H9</f>
        <v>57775180.5</v>
      </c>
      <c r="H154" s="85">
        <f>+'P9.3'!I9</f>
        <v>57775180.5</v>
      </c>
      <c r="I154" s="85">
        <f>+'P9.3'!J9</f>
        <v>57775180.5</v>
      </c>
      <c r="J154" s="85">
        <f>+'P9.3'!K9</f>
        <v>57775180.5</v>
      </c>
      <c r="K154" s="85">
        <f>+'P9.3'!L9</f>
        <v>57775180.5</v>
      </c>
      <c r="L154" s="85">
        <f>+'P9.3'!M9</f>
        <v>0</v>
      </c>
      <c r="M154" s="85">
        <f>+'P9.3'!N9</f>
        <v>0</v>
      </c>
      <c r="N154" s="85">
        <f>+'P9.3'!O9</f>
        <v>0</v>
      </c>
      <c r="O154" s="85">
        <f>+'P9.3'!P9</f>
        <v>0</v>
      </c>
      <c r="P154" s="85">
        <f>+'P9.3'!Q9</f>
        <v>0</v>
      </c>
      <c r="Q154" s="85">
        <f>+'P9.3'!R9</f>
        <v>0</v>
      </c>
      <c r="R154" s="85">
        <f>+'P9.3'!S9</f>
        <v>0</v>
      </c>
      <c r="S154" s="85">
        <f>+'P9.3'!T9</f>
        <v>0</v>
      </c>
      <c r="T154" s="85">
        <f>+'P9.3'!U9</f>
        <v>0</v>
      </c>
      <c r="U154" s="85">
        <f>+'P9.3'!V9</f>
        <v>0</v>
      </c>
      <c r="V154" s="63">
        <f t="shared" si="40"/>
        <v>288875902.5</v>
      </c>
    </row>
    <row r="155" spans="2:24" s="89" customFormat="1" ht="17.25" customHeight="1" x14ac:dyDescent="0.25">
      <c r="B155" s="9" t="s">
        <v>33</v>
      </c>
      <c r="C155" s="65">
        <f t="shared" ref="C155:U155" si="43">SUM(C156:C159)</f>
        <v>0</v>
      </c>
      <c r="D155" s="65">
        <f t="shared" si="43"/>
        <v>0</v>
      </c>
      <c r="E155" s="65">
        <f t="shared" si="43"/>
        <v>89782914</v>
      </c>
      <c r="F155" s="65">
        <f t="shared" si="43"/>
        <v>376971406</v>
      </c>
      <c r="G155" s="65">
        <f t="shared" si="43"/>
        <v>376971406</v>
      </c>
      <c r="H155" s="65">
        <f t="shared" si="43"/>
        <v>287188492</v>
      </c>
      <c r="I155" s="65">
        <f t="shared" si="43"/>
        <v>105619893</v>
      </c>
      <c r="J155" s="65">
        <f t="shared" si="43"/>
        <v>105619893</v>
      </c>
      <c r="K155" s="65">
        <f t="shared" si="43"/>
        <v>61619442</v>
      </c>
      <c r="L155" s="65">
        <f t="shared" si="43"/>
        <v>61619442</v>
      </c>
      <c r="M155" s="65">
        <f t="shared" si="43"/>
        <v>61619442</v>
      </c>
      <c r="N155" s="65">
        <f t="shared" si="43"/>
        <v>61619442</v>
      </c>
      <c r="O155" s="65">
        <f t="shared" si="43"/>
        <v>61619442</v>
      </c>
      <c r="P155" s="65">
        <f t="shared" si="43"/>
        <v>61619442</v>
      </c>
      <c r="Q155" s="65">
        <f t="shared" si="43"/>
        <v>61619442</v>
      </c>
      <c r="R155" s="65">
        <f t="shared" si="43"/>
        <v>61619442</v>
      </c>
      <c r="S155" s="65">
        <f t="shared" si="43"/>
        <v>61619442</v>
      </c>
      <c r="T155" s="65">
        <f t="shared" si="43"/>
        <v>61619442</v>
      </c>
      <c r="U155" s="65">
        <f t="shared" si="43"/>
        <v>61619442</v>
      </c>
      <c r="V155" s="65">
        <f>SUM(V156:V159)</f>
        <v>2019967866</v>
      </c>
    </row>
    <row r="156" spans="2:24" ht="27" customHeight="1" x14ac:dyDescent="0.2">
      <c r="B156" s="12" t="s">
        <v>527</v>
      </c>
      <c r="C156" s="85">
        <f>+'P9.4'!D8</f>
        <v>0</v>
      </c>
      <c r="D156" s="85">
        <f>+'P9.4'!E8</f>
        <v>0</v>
      </c>
      <c r="E156" s="85">
        <f>+'P9.4'!F8</f>
        <v>89782914</v>
      </c>
      <c r="F156" s="85">
        <f>+'P9.4'!G8</f>
        <v>89782914</v>
      </c>
      <c r="G156" s="85">
        <f>+'P9.4'!H8</f>
        <v>89782914</v>
      </c>
      <c r="H156" s="85">
        <f>+'P9.4'!I8</f>
        <v>0</v>
      </c>
      <c r="I156" s="85">
        <f>+'P9.4'!J8</f>
        <v>0</v>
      </c>
      <c r="J156" s="85">
        <f>+'P9.4'!K8</f>
        <v>0</v>
      </c>
      <c r="K156" s="85">
        <f>+'P9.4'!L8</f>
        <v>0</v>
      </c>
      <c r="L156" s="85">
        <f>+'P9.4'!M8</f>
        <v>0</v>
      </c>
      <c r="M156" s="85">
        <f>+'P9.4'!N8</f>
        <v>0</v>
      </c>
      <c r="N156" s="85">
        <f>+'P9.4'!O8</f>
        <v>0</v>
      </c>
      <c r="O156" s="85">
        <f>+'P9.4'!P8</f>
        <v>0</v>
      </c>
      <c r="P156" s="85">
        <f>+'P9.4'!Q8</f>
        <v>0</v>
      </c>
      <c r="Q156" s="85">
        <f>+'P9.4'!R8</f>
        <v>0</v>
      </c>
      <c r="R156" s="85">
        <f>+'P9.4'!S8</f>
        <v>0</v>
      </c>
      <c r="S156" s="85">
        <f>+'P9.4'!T8</f>
        <v>0</v>
      </c>
      <c r="T156" s="85">
        <f>+'P9.4'!U8</f>
        <v>0</v>
      </c>
      <c r="U156" s="85">
        <f>+'P9.4'!V8</f>
        <v>0</v>
      </c>
      <c r="V156" s="63">
        <f t="shared" si="40"/>
        <v>269348742</v>
      </c>
    </row>
    <row r="157" spans="2:24" ht="27" customHeight="1" x14ac:dyDescent="0.2">
      <c r="B157" s="12" t="s">
        <v>528</v>
      </c>
      <c r="C157" s="85">
        <f>+'P9.4'!D9</f>
        <v>0</v>
      </c>
      <c r="D157" s="85">
        <f>+'P9.4'!E9</f>
        <v>0</v>
      </c>
      <c r="E157" s="85">
        <f>+'P9.4'!F9</f>
        <v>0</v>
      </c>
      <c r="F157" s="85">
        <f>+'P9.4'!G9</f>
        <v>61619442</v>
      </c>
      <c r="G157" s="85">
        <f>+'P9.4'!H9</f>
        <v>61619442</v>
      </c>
      <c r="H157" s="85">
        <f>+'P9.4'!I9</f>
        <v>61619442</v>
      </c>
      <c r="I157" s="85">
        <f>+'P9.4'!J9</f>
        <v>61619442</v>
      </c>
      <c r="J157" s="85">
        <f>+'P9.4'!K9</f>
        <v>61619442</v>
      </c>
      <c r="K157" s="85">
        <f>+'P9.4'!L9</f>
        <v>61619442</v>
      </c>
      <c r="L157" s="85">
        <f>+'P9.4'!M9</f>
        <v>61619442</v>
      </c>
      <c r="M157" s="85">
        <f>+'P9.4'!N9</f>
        <v>61619442</v>
      </c>
      <c r="N157" s="85">
        <f>+'P9.4'!O9</f>
        <v>61619442</v>
      </c>
      <c r="O157" s="85">
        <f>+'P9.4'!P9</f>
        <v>61619442</v>
      </c>
      <c r="P157" s="85">
        <f>+'P9.4'!Q9</f>
        <v>61619442</v>
      </c>
      <c r="Q157" s="85">
        <f>+'P9.4'!R9</f>
        <v>61619442</v>
      </c>
      <c r="R157" s="85">
        <f>+'P9.4'!S9</f>
        <v>61619442</v>
      </c>
      <c r="S157" s="85">
        <f>+'P9.4'!T9</f>
        <v>61619442</v>
      </c>
      <c r="T157" s="85">
        <f>+'P9.4'!U9</f>
        <v>61619442</v>
      </c>
      <c r="U157" s="85">
        <f>+'P9.4'!V9</f>
        <v>61619442</v>
      </c>
      <c r="V157" s="63">
        <f t="shared" si="40"/>
        <v>985911072</v>
      </c>
    </row>
    <row r="158" spans="2:24" ht="27.75" customHeight="1" x14ac:dyDescent="0.2">
      <c r="B158" s="12" t="s">
        <v>529</v>
      </c>
      <c r="C158" s="85">
        <f>+'P9.4'!D10</f>
        <v>0</v>
      </c>
      <c r="D158" s="85">
        <f>+'P9.4'!E10</f>
        <v>0</v>
      </c>
      <c r="E158" s="85">
        <f>+'P9.4'!F10</f>
        <v>0</v>
      </c>
      <c r="F158" s="85">
        <f>+'P9.4'!G10</f>
        <v>181568599</v>
      </c>
      <c r="G158" s="85">
        <f>+'P9.4'!H10</f>
        <v>181568599</v>
      </c>
      <c r="H158" s="85">
        <f>+'P9.4'!I10</f>
        <v>181568599</v>
      </c>
      <c r="I158" s="85" t="str">
        <f>+'P9.4'!J10</f>
        <v>Presupuesto relativo</v>
      </c>
      <c r="J158" s="85" t="str">
        <f>+'P9.4'!K10</f>
        <v>Presupuesto relativo</v>
      </c>
      <c r="K158" s="85" t="str">
        <f>+'P9.4'!L10</f>
        <v>Presupuesto relativo</v>
      </c>
      <c r="L158" s="85" t="str">
        <f>+'P9.4'!M10</f>
        <v>Presupuesto relativo</v>
      </c>
      <c r="M158" s="85" t="str">
        <f>+'P9.4'!N10</f>
        <v>Presupuesto relativo</v>
      </c>
      <c r="N158" s="85" t="str">
        <f>+'P9.4'!O10</f>
        <v>Presupuesto relativo</v>
      </c>
      <c r="O158" s="85" t="str">
        <f>+'P9.4'!P10</f>
        <v>Presupuesto relativo</v>
      </c>
      <c r="P158" s="85" t="str">
        <f>+'P9.4'!Q10</f>
        <v>Presupuesto relativo</v>
      </c>
      <c r="Q158" s="85" t="str">
        <f>+'P9.4'!R10</f>
        <v>Presupuesto relativo</v>
      </c>
      <c r="R158" s="85" t="str">
        <f>+'P9.4'!S10</f>
        <v>Presupuesto relativo</v>
      </c>
      <c r="S158" s="85" t="str">
        <f>+'P9.4'!T10</f>
        <v>Presupuesto relativo</v>
      </c>
      <c r="T158" s="85" t="str">
        <f>+'P9.4'!U10</f>
        <v>Presupuesto relativo</v>
      </c>
      <c r="U158" s="85" t="str">
        <f>+'P9.4'!V10</f>
        <v>Presupuesto relativo</v>
      </c>
      <c r="V158" s="63">
        <f t="shared" si="40"/>
        <v>544705797</v>
      </c>
    </row>
    <row r="159" spans="2:24" ht="27.75" customHeight="1" x14ac:dyDescent="0.2">
      <c r="B159" s="12" t="s">
        <v>530</v>
      </c>
      <c r="C159" s="85">
        <f>+'P9.4'!D11</f>
        <v>0</v>
      </c>
      <c r="D159" s="85">
        <f>+'P9.4'!E11</f>
        <v>0</v>
      </c>
      <c r="E159" s="85">
        <f>+'P9.4'!F11</f>
        <v>0</v>
      </c>
      <c r="F159" s="85">
        <f>+'P9.4'!G11</f>
        <v>44000451</v>
      </c>
      <c r="G159" s="85">
        <f>+'P9.4'!H11</f>
        <v>44000451</v>
      </c>
      <c r="H159" s="85">
        <f>+'P9.4'!I11</f>
        <v>44000451</v>
      </c>
      <c r="I159" s="85">
        <f>+'P9.4'!J11</f>
        <v>44000451</v>
      </c>
      <c r="J159" s="85">
        <f>+'P9.4'!K11</f>
        <v>44000451</v>
      </c>
      <c r="K159" s="85" t="str">
        <f>+'P9.4'!L11</f>
        <v>Presupuesto relativo</v>
      </c>
      <c r="L159" s="85" t="str">
        <f>+'P9.4'!M11</f>
        <v>Presupuesto relativo</v>
      </c>
      <c r="M159" s="85" t="str">
        <f>+'P9.4'!N11</f>
        <v>Presupuesto relativo</v>
      </c>
      <c r="N159" s="85" t="str">
        <f>+'P9.4'!O11</f>
        <v>Presupuesto relativo</v>
      </c>
      <c r="O159" s="85" t="str">
        <f>+'P9.4'!P11</f>
        <v>Presupuesto relativo</v>
      </c>
      <c r="P159" s="85" t="str">
        <f>+'P9.4'!Q11</f>
        <v>Presupuesto relativo</v>
      </c>
      <c r="Q159" s="85" t="str">
        <f>+'P9.4'!R11</f>
        <v>Presupuesto relativo</v>
      </c>
      <c r="R159" s="85" t="str">
        <f>+'P9.4'!S11</f>
        <v>Presupuesto relativo</v>
      </c>
      <c r="S159" s="85" t="str">
        <f>+'P9.4'!T11</f>
        <v>Presupuesto relativo</v>
      </c>
      <c r="T159" s="85" t="str">
        <f>+'P9.4'!U11</f>
        <v>Presupuesto relativo</v>
      </c>
      <c r="U159" s="85" t="str">
        <f>+'P9.4'!V11</f>
        <v>Presupuesto relativo</v>
      </c>
      <c r="V159" s="63">
        <f t="shared" si="40"/>
        <v>220002255</v>
      </c>
    </row>
    <row r="160" spans="2:24" ht="17.25" customHeight="1" x14ac:dyDescent="0.2">
      <c r="B160" s="11" t="s">
        <v>35</v>
      </c>
      <c r="C160" s="164">
        <f>+C5+C29+C54+C79+C95+C103+C116+C129+C142</f>
        <v>33810876</v>
      </c>
      <c r="D160" s="164">
        <f t="shared" ref="D160:U160" si="44">+D5+D29+D54+D79+D95+D103+D116+D129+D142</f>
        <v>63901517183.699997</v>
      </c>
      <c r="E160" s="164">
        <f t="shared" si="44"/>
        <v>128983545280.70001</v>
      </c>
      <c r="F160" s="164">
        <f t="shared" si="44"/>
        <v>72690007177.375</v>
      </c>
      <c r="G160" s="164">
        <f t="shared" si="44"/>
        <v>166892397996.17499</v>
      </c>
      <c r="H160" s="164">
        <f t="shared" si="44"/>
        <v>260279528126.82501</v>
      </c>
      <c r="I160" s="164">
        <f t="shared" si="44"/>
        <v>190381132349.22501</v>
      </c>
      <c r="J160" s="164">
        <f t="shared" si="44"/>
        <v>349752263978.65002</v>
      </c>
      <c r="K160" s="164">
        <f t="shared" si="44"/>
        <v>290428419738.09998</v>
      </c>
      <c r="L160" s="164">
        <f t="shared" si="44"/>
        <v>126404676628.5</v>
      </c>
      <c r="M160" s="164">
        <f t="shared" si="44"/>
        <v>125849812086.875</v>
      </c>
      <c r="N160" s="164">
        <f t="shared" si="44"/>
        <v>186070152543</v>
      </c>
      <c r="O160" s="164">
        <f t="shared" si="44"/>
        <v>125640205411.3</v>
      </c>
      <c r="P160" s="164">
        <f t="shared" si="44"/>
        <v>122762151916.39999</v>
      </c>
      <c r="Q160" s="164">
        <f t="shared" si="44"/>
        <v>182205043951.37503</v>
      </c>
      <c r="R160" s="164">
        <f t="shared" si="44"/>
        <v>121510689611.39999</v>
      </c>
      <c r="S160" s="164">
        <f t="shared" si="44"/>
        <v>64837691680.399994</v>
      </c>
      <c r="T160" s="164">
        <f t="shared" si="44"/>
        <v>125240413464.45</v>
      </c>
      <c r="U160" s="164">
        <f t="shared" si="44"/>
        <v>64768238724.574997</v>
      </c>
      <c r="V160" s="164">
        <f>+V5+V29+V54+V79+V95+V103+V116+V129+V142</f>
        <v>2768631698725.0249</v>
      </c>
      <c r="W160" s="238">
        <f>SUM(C160:U160)</f>
        <v>2768631698725.0254</v>
      </c>
      <c r="X160" s="241">
        <f>+V160-W160</f>
        <v>0</v>
      </c>
    </row>
    <row r="161" spans="3:22" x14ac:dyDescent="0.2">
      <c r="C161" s="182"/>
      <c r="V161" s="173"/>
    </row>
    <row r="165" spans="3:22" x14ac:dyDescent="0.2">
      <c r="D165" s="182"/>
    </row>
  </sheetData>
  <sheetProtection algorithmName="SHA-512" hashValue="5ZI4v8bXpv9HKnqPtVMWAUkUljRbAHT8E7Z1UtMnEVicLo49D9a7M77YsENunaJLURHhjJ9vWoW/Ga/cc8HaKA==" saltValue="p+N8m/+dc13OW3ZOwZ5O7Q==" spinCount="100000" sheet="1" formatCells="0" formatColumns="0" formatRows="0" insertColumns="0" insertRows="0" insertHyperlinks="0" deleteColumns="0" deleteRows="0" sort="0" autoFilter="0" pivotTables="0"/>
  <pageMargins left="0.7" right="0.7" top="0.75" bottom="0.75" header="0.3" footer="0.3"/>
  <pageSetup orientation="portrait" r:id="rId1"/>
  <ignoredErrors>
    <ignoredError sqref="V20 V26 V90 V100 V40 V48 V147 V152 V155 V12 V16 V60 V67 V74 V110 V123 V138"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23"/>
  <dimension ref="B2:X30"/>
  <sheetViews>
    <sheetView workbookViewId="0">
      <selection activeCell="B8" sqref="B8"/>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detallado'!B129</f>
        <v xml:space="preserve">PROGRAMA 8. Institucionalidad arrocera </v>
      </c>
    </row>
    <row r="5" spans="2:24" x14ac:dyDescent="0.25">
      <c r="B5" s="15" t="str">
        <f>+'Presupuesto detallado'!B138</f>
        <v xml:space="preserve">8.2. Fortalecimiento de las relaciones de cooperación y asociatividad estratégica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detallado'!B139</f>
        <v xml:space="preserve">8.2.1. Socialización y replica de los modelos asociativos y experiencias exitosas en el país de manera diferenciada para las regiones arroceras </v>
      </c>
      <c r="C8" s="19" t="s">
        <v>178</v>
      </c>
      <c r="D8" s="20"/>
      <c r="E8" s="20"/>
      <c r="F8" s="20"/>
      <c r="G8" s="20"/>
      <c r="H8" s="20"/>
      <c r="I8" s="20"/>
      <c r="J8" s="20"/>
      <c r="K8" s="20"/>
      <c r="L8" s="20"/>
      <c r="M8" s="20"/>
      <c r="N8" s="20"/>
      <c r="O8" s="20"/>
      <c r="P8" s="20"/>
      <c r="Q8" s="20"/>
      <c r="R8" s="20"/>
      <c r="S8" s="20"/>
      <c r="T8" s="20"/>
      <c r="U8" s="20"/>
      <c r="V8" s="20"/>
    </row>
    <row r="9" spans="2:24" ht="48" x14ac:dyDescent="0.25">
      <c r="B9" s="18" t="str">
        <f>+'Presupuesto detallado'!B140</f>
        <v>8.2.2. Fortalecimiento de los diferentes esquemas de asociación y promoción del cooperativismo  para generar economías de escala y desarrollo conjunto de negocios en la cadena de arroz</v>
      </c>
      <c r="C9" s="19" t="s">
        <v>160</v>
      </c>
      <c r="D9" s="20"/>
      <c r="E9" s="20"/>
      <c r="F9" s="20"/>
      <c r="G9" s="20"/>
      <c r="H9" s="20"/>
      <c r="I9" s="20"/>
      <c r="J9" s="20"/>
      <c r="K9" s="20"/>
      <c r="L9" s="20"/>
      <c r="M9" s="20"/>
      <c r="N9" s="20"/>
      <c r="O9" s="20"/>
      <c r="P9" s="20"/>
      <c r="Q9" s="20"/>
      <c r="R9" s="20"/>
      <c r="S9" s="20"/>
      <c r="T9" s="20"/>
      <c r="U9" s="20"/>
      <c r="V9" s="20"/>
    </row>
    <row r="10" spans="2:24" ht="24" x14ac:dyDescent="0.25">
      <c r="B10" s="18" t="str">
        <f>+'Presupuesto detallado'!B141</f>
        <v>8.2.3. Consolidación del Consejo Nacional del Arroz como órgano consultivo asesor</v>
      </c>
      <c r="C10" s="19" t="s">
        <v>179</v>
      </c>
      <c r="D10" s="20"/>
      <c r="E10" s="20"/>
      <c r="F10" s="20"/>
      <c r="G10" s="20"/>
      <c r="H10" s="20"/>
      <c r="I10" s="20"/>
      <c r="J10" s="20"/>
      <c r="K10" s="20"/>
      <c r="L10" s="20"/>
      <c r="M10" s="20"/>
      <c r="N10" s="20"/>
      <c r="O10" s="20"/>
      <c r="P10" s="20"/>
      <c r="Q10" s="20"/>
      <c r="R10" s="20"/>
      <c r="S10" s="20"/>
      <c r="T10" s="20"/>
      <c r="U10" s="20"/>
      <c r="V10" s="20"/>
    </row>
    <row r="11" spans="2:24" ht="24" customHeight="1" x14ac:dyDescent="0.25"/>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X73"/>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4.42578125" style="1" bestFit="1" customWidth="1"/>
    <col min="5" max="5" width="16" style="1" bestFit="1" customWidth="1"/>
    <col min="6" max="6" width="14.42578125" style="1" bestFit="1" customWidth="1"/>
    <col min="7" max="7" width="16" style="1" customWidth="1"/>
    <col min="8" max="8" width="13.7109375" style="1" customWidth="1"/>
    <col min="9" max="9" width="16" style="1" customWidth="1"/>
    <col min="10" max="10" width="13.42578125" style="1" customWidth="1"/>
    <col min="11" max="11" width="15.85546875" style="1" customWidth="1"/>
    <col min="12" max="12" width="13.28515625" style="1" customWidth="1"/>
    <col min="13" max="13" width="14.5703125" style="1" customWidth="1"/>
    <col min="14" max="14" width="14" style="1" customWidth="1"/>
    <col min="15" max="15" width="14.42578125" style="1" customWidth="1"/>
    <col min="16" max="17" width="16.140625" style="1" customWidth="1"/>
    <col min="18" max="18" width="13.42578125" style="1" bestFit="1" customWidth="1"/>
    <col min="19" max="19" width="13.140625" style="1" customWidth="1"/>
    <col min="20" max="20" width="13.42578125" style="1" customWidth="1"/>
    <col min="21" max="21" width="14" style="1" customWidth="1"/>
    <col min="22" max="22" width="13.42578125" style="1" bestFit="1" customWidth="1"/>
    <col min="23" max="23" width="16.14062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detallado'!B129</f>
        <v xml:space="preserve">PROGRAMA 8. Institucionalidad arrocera </v>
      </c>
    </row>
    <row r="5" spans="2:24" x14ac:dyDescent="0.25">
      <c r="B5" s="15" t="str">
        <f>+'Presupuesto detallado'!B130</f>
        <v>8.1. Fortalecimiento de la articulación institucional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detallado'!B131</f>
        <v>8.1.1. Declaración, adopción y promoción, del Plan de ordenamiento productivo de la cadena de arroz, como política pública</v>
      </c>
      <c r="C8" s="19" t="s">
        <v>37</v>
      </c>
      <c r="D8" s="127">
        <v>0</v>
      </c>
      <c r="E8" s="127">
        <f>+H19</f>
        <v>104000451</v>
      </c>
      <c r="F8" s="127">
        <f>+H19</f>
        <v>104000451</v>
      </c>
      <c r="G8" s="56"/>
      <c r="H8" s="56"/>
      <c r="I8" s="56"/>
      <c r="J8" s="56"/>
      <c r="K8" s="56"/>
      <c r="L8" s="56"/>
      <c r="M8" s="56"/>
      <c r="N8" s="56"/>
      <c r="O8" s="56"/>
      <c r="P8" s="56"/>
      <c r="Q8" s="56"/>
      <c r="R8" s="56"/>
      <c r="S8" s="56"/>
      <c r="T8" s="56"/>
      <c r="U8" s="56"/>
      <c r="V8" s="56"/>
      <c r="W8" s="127">
        <f t="shared" ref="W8:W14" si="0">SUM(D8:V8)</f>
        <v>208000902</v>
      </c>
    </row>
    <row r="9" spans="2:24" ht="36" x14ac:dyDescent="0.25">
      <c r="B9" s="18" t="str">
        <f>+'Presupuesto detallado'!B132</f>
        <v>8.1.2. Diseño e implementación del sistema de seguimiento y evaluación del Plan de ordenamiento productivo de la cadena de arroz</v>
      </c>
      <c r="C9" s="19" t="s">
        <v>141</v>
      </c>
      <c r="D9" s="56"/>
      <c r="E9" s="127">
        <f t="shared" ref="E9:V9" si="1">$G$27</f>
        <v>353407101</v>
      </c>
      <c r="F9" s="127">
        <f t="shared" si="1"/>
        <v>353407101</v>
      </c>
      <c r="G9" s="127">
        <f t="shared" si="1"/>
        <v>353407101</v>
      </c>
      <c r="H9" s="127">
        <f t="shared" si="1"/>
        <v>353407101</v>
      </c>
      <c r="I9" s="127">
        <f t="shared" si="1"/>
        <v>353407101</v>
      </c>
      <c r="J9" s="127">
        <f t="shared" si="1"/>
        <v>353407101</v>
      </c>
      <c r="K9" s="127">
        <f t="shared" si="1"/>
        <v>353407101</v>
      </c>
      <c r="L9" s="127">
        <f t="shared" si="1"/>
        <v>353407101</v>
      </c>
      <c r="M9" s="127">
        <f t="shared" si="1"/>
        <v>353407101</v>
      </c>
      <c r="N9" s="127">
        <f t="shared" si="1"/>
        <v>353407101</v>
      </c>
      <c r="O9" s="127">
        <f t="shared" si="1"/>
        <v>353407101</v>
      </c>
      <c r="P9" s="127">
        <f t="shared" si="1"/>
        <v>353407101</v>
      </c>
      <c r="Q9" s="127">
        <f t="shared" si="1"/>
        <v>353407101</v>
      </c>
      <c r="R9" s="127">
        <f t="shared" si="1"/>
        <v>353407101</v>
      </c>
      <c r="S9" s="127">
        <f t="shared" si="1"/>
        <v>353407101</v>
      </c>
      <c r="T9" s="127">
        <f t="shared" si="1"/>
        <v>353407101</v>
      </c>
      <c r="U9" s="127">
        <f t="shared" si="1"/>
        <v>353407101</v>
      </c>
      <c r="V9" s="127">
        <f t="shared" si="1"/>
        <v>353407101</v>
      </c>
      <c r="W9" s="127">
        <f t="shared" si="0"/>
        <v>6361327818</v>
      </c>
    </row>
    <row r="10" spans="2:24" ht="48" x14ac:dyDescent="0.25">
      <c r="B10" s="18" t="str">
        <f>+'Presupuesto detallado'!B133</f>
        <v>8.1.3. Mejora en el relacionamiento de los actores público - privados que permitan la articulación de agendas de trabajo para la implementación del Plan de Ordenamiento Productivo de la cadena de arroz</v>
      </c>
      <c r="C10" s="19" t="s">
        <v>494</v>
      </c>
      <c r="D10" s="56"/>
      <c r="E10" s="142"/>
      <c r="F10" s="142">
        <f>H36</f>
        <v>186299791.5</v>
      </c>
      <c r="G10" s="142">
        <f>H36</f>
        <v>186299791.5</v>
      </c>
      <c r="H10" s="142">
        <f>+H36</f>
        <v>186299791.5</v>
      </c>
      <c r="I10" s="56"/>
      <c r="J10" s="56"/>
      <c r="K10" s="18"/>
      <c r="L10" s="83"/>
      <c r="M10" s="56"/>
      <c r="N10" s="18"/>
      <c r="O10" s="56"/>
      <c r="P10" s="56"/>
      <c r="Q10" s="18"/>
      <c r="R10" s="56"/>
      <c r="S10" s="56"/>
      <c r="T10" s="18"/>
      <c r="U10" s="56"/>
      <c r="V10" s="56"/>
      <c r="W10" s="127">
        <f t="shared" si="0"/>
        <v>558899374.5</v>
      </c>
    </row>
    <row r="11" spans="2:24" ht="36" x14ac:dyDescent="0.25">
      <c r="B11" s="18" t="str">
        <f>+'Presupuesto detallado'!B134</f>
        <v>8.1.4. Fortalecimiento de las capacidades institucionales públicas y privadas en los diferentes ámbitos del territorio</v>
      </c>
      <c r="C11" s="19" t="s">
        <v>175</v>
      </c>
      <c r="D11" s="56"/>
      <c r="E11" s="56"/>
      <c r="F11" s="56"/>
      <c r="G11" s="142">
        <f>H43</f>
        <v>25813343.875</v>
      </c>
      <c r="H11" s="142">
        <f>H43</f>
        <v>25813343.875</v>
      </c>
      <c r="I11" s="142">
        <f>+H43</f>
        <v>25813343.875</v>
      </c>
      <c r="J11" s="142">
        <f>+H43</f>
        <v>25813343.875</v>
      </c>
      <c r="K11" s="56"/>
      <c r="L11" s="56"/>
      <c r="M11" s="56"/>
      <c r="N11" s="142">
        <f>+H43</f>
        <v>25813343.875</v>
      </c>
      <c r="P11" s="56"/>
      <c r="R11" s="142">
        <f>N11</f>
        <v>25813343.875</v>
      </c>
      <c r="S11" s="56"/>
      <c r="T11" s="20"/>
      <c r="U11" s="56"/>
      <c r="V11" s="142">
        <f>R11</f>
        <v>25813343.875</v>
      </c>
      <c r="W11" s="127">
        <f t="shared" si="0"/>
        <v>180693407.125</v>
      </c>
    </row>
    <row r="12" spans="2:24" ht="36" x14ac:dyDescent="0.25">
      <c r="B12" s="18" t="str">
        <f>+'Presupuesto detallado'!B135</f>
        <v>8.1.5. Articulación de los instrumentos de planificación e implementación de políticas relacionadas con la cadena de arroz a nivel nacional, regional y municipal</v>
      </c>
      <c r="C12" s="19" t="s">
        <v>175</v>
      </c>
      <c r="D12" s="56"/>
      <c r="E12" s="56"/>
      <c r="F12" s="56"/>
      <c r="G12" s="142">
        <f>G54</f>
        <v>83276132.5</v>
      </c>
      <c r="H12" s="142">
        <f>G54</f>
        <v>83276132.5</v>
      </c>
      <c r="I12" s="142">
        <f>+G54</f>
        <v>83276132.5</v>
      </c>
      <c r="J12" s="142">
        <f>+G54</f>
        <v>83276132.5</v>
      </c>
      <c r="K12" s="56"/>
      <c r="L12" s="56"/>
      <c r="M12" s="56"/>
      <c r="N12" s="142">
        <f>+G54</f>
        <v>83276132.5</v>
      </c>
      <c r="O12" s="18"/>
      <c r="P12" s="56"/>
      <c r="Q12" s="56"/>
      <c r="R12" s="142">
        <f>+G54</f>
        <v>83276132.5</v>
      </c>
      <c r="S12" s="56"/>
      <c r="T12" s="18"/>
      <c r="U12" s="56"/>
      <c r="V12" s="142">
        <f>+G54</f>
        <v>83276132.5</v>
      </c>
      <c r="W12" s="127">
        <f>SUM(D12:V12)</f>
        <v>582932927.5</v>
      </c>
    </row>
    <row r="13" spans="2:24" ht="36" x14ac:dyDescent="0.25">
      <c r="B13" s="18" t="str">
        <f>+'Presupuesto detallado'!B136</f>
        <v>8.1.6. Revisión y actualización del marco legal y normativo vigente acorde con lo establecido en el Plan de Ordenamiento Productivo para la cadena de arroz.</v>
      </c>
      <c r="C13" s="19" t="s">
        <v>150</v>
      </c>
      <c r="D13" s="56"/>
      <c r="E13" s="56"/>
      <c r="F13" s="56"/>
      <c r="G13" s="127">
        <f>$G$63</f>
        <v>83276132.5</v>
      </c>
      <c r="H13" s="127">
        <f t="shared" ref="H13:V13" si="2">$G$63</f>
        <v>83276132.5</v>
      </c>
      <c r="I13" s="127">
        <f t="shared" si="2"/>
        <v>83276132.5</v>
      </c>
      <c r="J13" s="127">
        <f t="shared" si="2"/>
        <v>83276132.5</v>
      </c>
      <c r="K13" s="127">
        <f t="shared" si="2"/>
        <v>83276132.5</v>
      </c>
      <c r="L13" s="127">
        <f t="shared" si="2"/>
        <v>83276132.5</v>
      </c>
      <c r="M13" s="127">
        <f t="shared" si="2"/>
        <v>83276132.5</v>
      </c>
      <c r="N13" s="127">
        <f t="shared" si="2"/>
        <v>83276132.5</v>
      </c>
      <c r="O13" s="127">
        <f t="shared" si="2"/>
        <v>83276132.5</v>
      </c>
      <c r="P13" s="127">
        <f t="shared" si="2"/>
        <v>83276132.5</v>
      </c>
      <c r="Q13" s="127">
        <f t="shared" si="2"/>
        <v>83276132.5</v>
      </c>
      <c r="R13" s="127">
        <f t="shared" si="2"/>
        <v>83276132.5</v>
      </c>
      <c r="S13" s="127">
        <f t="shared" si="2"/>
        <v>83276132.5</v>
      </c>
      <c r="T13" s="127">
        <f t="shared" si="2"/>
        <v>83276132.5</v>
      </c>
      <c r="U13" s="127">
        <f t="shared" si="2"/>
        <v>83276132.5</v>
      </c>
      <c r="V13" s="127">
        <f t="shared" si="2"/>
        <v>83276132.5</v>
      </c>
      <c r="W13" s="127">
        <f>SUM(D13:V13)</f>
        <v>1332418120</v>
      </c>
    </row>
    <row r="14" spans="2:24" ht="36" x14ac:dyDescent="0.25">
      <c r="B14" s="18" t="str">
        <f>+'Presupuesto detallado'!B137</f>
        <v>8.1.7. Promoción de acciones que propendan por la seguridad jurídica de la tenencia de la tierra en las regiones arroceras</v>
      </c>
      <c r="C14" s="19" t="s">
        <v>150</v>
      </c>
      <c r="D14" s="56"/>
      <c r="E14" s="56"/>
      <c r="F14" s="56"/>
      <c r="G14" s="127">
        <f>$G$73</f>
        <v>73906752</v>
      </c>
      <c r="H14" s="127">
        <f>$G$73</f>
        <v>73906752</v>
      </c>
      <c r="I14" s="127">
        <f t="shared" ref="I14:V14" si="3">$G$73</f>
        <v>73906752</v>
      </c>
      <c r="J14" s="127">
        <f t="shared" si="3"/>
        <v>73906752</v>
      </c>
      <c r="K14" s="127">
        <f t="shared" si="3"/>
        <v>73906752</v>
      </c>
      <c r="L14" s="127">
        <f t="shared" si="3"/>
        <v>73906752</v>
      </c>
      <c r="M14" s="127">
        <f t="shared" si="3"/>
        <v>73906752</v>
      </c>
      <c r="N14" s="127">
        <f t="shared" si="3"/>
        <v>73906752</v>
      </c>
      <c r="O14" s="127">
        <f t="shared" si="3"/>
        <v>73906752</v>
      </c>
      <c r="P14" s="127">
        <f t="shared" si="3"/>
        <v>73906752</v>
      </c>
      <c r="Q14" s="127">
        <f t="shared" si="3"/>
        <v>73906752</v>
      </c>
      <c r="R14" s="127">
        <f t="shared" si="3"/>
        <v>73906752</v>
      </c>
      <c r="S14" s="127">
        <f t="shared" si="3"/>
        <v>73906752</v>
      </c>
      <c r="T14" s="127">
        <f t="shared" si="3"/>
        <v>73906752</v>
      </c>
      <c r="U14" s="127">
        <f t="shared" si="3"/>
        <v>73906752</v>
      </c>
      <c r="V14" s="127">
        <f t="shared" si="3"/>
        <v>73906752</v>
      </c>
      <c r="W14" s="127">
        <f t="shared" si="0"/>
        <v>1182508032</v>
      </c>
    </row>
    <row r="15" spans="2:24" ht="24" customHeight="1" x14ac:dyDescent="0.25">
      <c r="W15" s="169">
        <f>SUM(W8:W14)</f>
        <v>10406780581.125</v>
      </c>
    </row>
    <row r="16" spans="2:24" x14ac:dyDescent="0.25">
      <c r="B16" s="13" t="s">
        <v>501</v>
      </c>
      <c r="C16" s="13" t="s">
        <v>40</v>
      </c>
      <c r="D16" s="13" t="s">
        <v>41</v>
      </c>
      <c r="E16" s="13" t="s">
        <v>42</v>
      </c>
      <c r="F16" s="13" t="s">
        <v>554</v>
      </c>
      <c r="G16" s="13" t="s">
        <v>43</v>
      </c>
      <c r="H16" s="13" t="s">
        <v>44</v>
      </c>
      <c r="W16" s="169">
        <f>+'Presupuesto detallado'!V130</f>
        <v>10406780581.125</v>
      </c>
    </row>
    <row r="17" spans="2:23" x14ac:dyDescent="0.25">
      <c r="B17" s="18" t="s">
        <v>666</v>
      </c>
      <c r="C17" s="21">
        <v>1</v>
      </c>
      <c r="D17" s="14" t="s">
        <v>100</v>
      </c>
      <c r="E17" s="121">
        <f>+Parámetros!D13</f>
        <v>8000082</v>
      </c>
      <c r="F17" s="118">
        <v>0.5</v>
      </c>
      <c r="G17" s="23">
        <v>11</v>
      </c>
      <c r="H17" s="121">
        <f>E17*G17*F17</f>
        <v>44000451</v>
      </c>
      <c r="W17" s="268">
        <f>+W15-W16</f>
        <v>0</v>
      </c>
    </row>
    <row r="18" spans="2:23" ht="36" x14ac:dyDescent="0.25">
      <c r="B18" s="18" t="s">
        <v>495</v>
      </c>
      <c r="C18" s="55">
        <v>3</v>
      </c>
      <c r="D18" s="56" t="s">
        <v>104</v>
      </c>
      <c r="E18" s="159">
        <v>20000000</v>
      </c>
      <c r="F18" s="206"/>
      <c r="G18" s="80"/>
      <c r="H18" s="159">
        <f>+C18*E18</f>
        <v>60000000</v>
      </c>
    </row>
    <row r="19" spans="2:23" x14ac:dyDescent="0.25">
      <c r="B19" s="24" t="s">
        <v>46</v>
      </c>
      <c r="C19" s="25"/>
      <c r="D19" s="14"/>
      <c r="E19" s="13"/>
      <c r="F19" s="13"/>
      <c r="G19" s="13"/>
      <c r="H19" s="26">
        <f>SUM(H17:H18)</f>
        <v>104000451</v>
      </c>
    </row>
    <row r="20" spans="2:23" x14ac:dyDescent="0.25">
      <c r="B20" s="301" t="s">
        <v>746</v>
      </c>
      <c r="C20" s="301"/>
      <c r="D20" s="301"/>
      <c r="E20" s="301"/>
      <c r="F20" s="301"/>
      <c r="G20" s="301"/>
      <c r="H20" s="301"/>
    </row>
    <row r="21" spans="2:23" x14ac:dyDescent="0.25">
      <c r="B21" s="332"/>
      <c r="C21" s="332"/>
      <c r="D21" s="332"/>
      <c r="E21" s="332"/>
      <c r="F21" s="332"/>
      <c r="G21" s="332"/>
      <c r="H21" s="332"/>
    </row>
    <row r="22" spans="2:23" x14ac:dyDescent="0.25">
      <c r="B22" s="5"/>
      <c r="C22" s="5"/>
      <c r="D22" s="5"/>
      <c r="E22" s="5"/>
      <c r="F22" s="5"/>
      <c r="G22" s="5"/>
      <c r="H22" s="5"/>
    </row>
    <row r="23" spans="2:23" x14ac:dyDescent="0.25">
      <c r="B23" s="13" t="s">
        <v>502</v>
      </c>
      <c r="C23" s="13" t="s">
        <v>40</v>
      </c>
      <c r="D23" s="13" t="s">
        <v>41</v>
      </c>
      <c r="E23" s="13" t="s">
        <v>42</v>
      </c>
      <c r="F23" s="13" t="s">
        <v>43</v>
      </c>
      <c r="G23" s="13" t="s">
        <v>44</v>
      </c>
    </row>
    <row r="24" spans="2:23" x14ac:dyDescent="0.25">
      <c r="B24" s="18" t="s">
        <v>727</v>
      </c>
      <c r="C24" s="55">
        <v>1</v>
      </c>
      <c r="D24" s="56" t="s">
        <v>230</v>
      </c>
      <c r="E24" s="159">
        <f>+Parámetros!D14</f>
        <v>7017615</v>
      </c>
      <c r="F24" s="80">
        <v>11</v>
      </c>
      <c r="G24" s="159">
        <f>E24*F24</f>
        <v>77193765</v>
      </c>
    </row>
    <row r="25" spans="2:23" ht="24" x14ac:dyDescent="0.25">
      <c r="B25" s="18" t="s">
        <v>264</v>
      </c>
      <c r="C25" s="55">
        <v>4</v>
      </c>
      <c r="D25" s="18" t="s">
        <v>265</v>
      </c>
      <c r="E25" s="159">
        <f>+Parámetros!D11</f>
        <v>11508889</v>
      </c>
      <c r="F25" s="80">
        <v>6</v>
      </c>
      <c r="G25" s="159">
        <f>C25*E25*F25</f>
        <v>276213336</v>
      </c>
    </row>
    <row r="26" spans="2:23" ht="24" x14ac:dyDescent="0.25">
      <c r="B26" s="18" t="s">
        <v>266</v>
      </c>
      <c r="C26" s="55"/>
      <c r="D26" s="56"/>
      <c r="E26" s="134"/>
      <c r="F26" s="80"/>
      <c r="G26" s="98" t="s">
        <v>118</v>
      </c>
    </row>
    <row r="27" spans="2:23" x14ac:dyDescent="0.25">
      <c r="B27" s="203" t="s">
        <v>107</v>
      </c>
      <c r="C27" s="204"/>
      <c r="D27" s="204"/>
      <c r="E27" s="204"/>
      <c r="F27" s="205"/>
      <c r="G27" s="119">
        <f>SUM(G24:G26)</f>
        <v>353407101</v>
      </c>
    </row>
    <row r="29" spans="2:23" x14ac:dyDescent="0.25">
      <c r="B29" s="13" t="s">
        <v>503</v>
      </c>
      <c r="C29" s="13" t="s">
        <v>40</v>
      </c>
      <c r="D29" s="13" t="s">
        <v>41</v>
      </c>
      <c r="E29" s="13" t="s">
        <v>42</v>
      </c>
      <c r="F29" s="13" t="s">
        <v>554</v>
      </c>
      <c r="G29" s="13" t="s">
        <v>43</v>
      </c>
      <c r="H29" s="13" t="s">
        <v>44</v>
      </c>
    </row>
    <row r="30" spans="2:23" x14ac:dyDescent="0.25">
      <c r="B30" s="18" t="s">
        <v>666</v>
      </c>
      <c r="C30" s="21">
        <v>1</v>
      </c>
      <c r="D30" s="14" t="s">
        <v>230</v>
      </c>
      <c r="E30" s="121">
        <f>+Parámetros!D11</f>
        <v>11508889</v>
      </c>
      <c r="F30" s="118">
        <v>0.5</v>
      </c>
      <c r="G30" s="23">
        <v>11</v>
      </c>
      <c r="H30" s="121">
        <f>E30*G30*F30</f>
        <v>63298889.5</v>
      </c>
    </row>
    <row r="31" spans="2:23" x14ac:dyDescent="0.25">
      <c r="B31" s="18" t="s">
        <v>191</v>
      </c>
      <c r="C31" s="21">
        <v>1</v>
      </c>
      <c r="D31" s="14" t="s">
        <v>104</v>
      </c>
      <c r="E31" s="121">
        <f>+Parámetros!D13</f>
        <v>8000082</v>
      </c>
      <c r="F31" s="206"/>
      <c r="G31" s="23">
        <v>11</v>
      </c>
      <c r="H31" s="121">
        <f>C31*E31*G31</f>
        <v>88000902</v>
      </c>
    </row>
    <row r="32" spans="2:23" x14ac:dyDescent="0.25">
      <c r="B32" s="18" t="s">
        <v>728</v>
      </c>
      <c r="C32" s="21">
        <v>6</v>
      </c>
      <c r="D32" s="14" t="s">
        <v>104</v>
      </c>
      <c r="E32" s="121">
        <v>3000000</v>
      </c>
      <c r="F32" s="13"/>
      <c r="G32" s="23"/>
      <c r="H32" s="121">
        <f>C32*E32</f>
        <v>18000000</v>
      </c>
    </row>
    <row r="33" spans="2:8" x14ac:dyDescent="0.25">
      <c r="B33" s="18" t="s">
        <v>267</v>
      </c>
      <c r="C33" s="21">
        <v>1</v>
      </c>
      <c r="D33" s="14" t="s">
        <v>104</v>
      </c>
      <c r="E33" s="121">
        <v>5000000</v>
      </c>
      <c r="F33" s="214"/>
      <c r="G33" s="23"/>
      <c r="H33" s="121">
        <f>C33*E33</f>
        <v>5000000</v>
      </c>
    </row>
    <row r="34" spans="2:8" x14ac:dyDescent="0.25">
      <c r="B34" s="18" t="s">
        <v>232</v>
      </c>
      <c r="C34" s="21">
        <v>4</v>
      </c>
      <c r="D34" s="54"/>
      <c r="E34" s="266">
        <v>3000000</v>
      </c>
      <c r="F34" s="20"/>
      <c r="G34" s="108"/>
      <c r="H34" s="121">
        <f>C34*E34</f>
        <v>12000000</v>
      </c>
    </row>
    <row r="35" spans="2:8" ht="24.75" x14ac:dyDescent="0.25">
      <c r="B35" s="18" t="s">
        <v>268</v>
      </c>
      <c r="C35" s="21"/>
      <c r="D35" s="14"/>
      <c r="E35" s="267"/>
      <c r="F35" s="20"/>
      <c r="G35" s="108"/>
      <c r="H35" s="97" t="s">
        <v>118</v>
      </c>
    </row>
    <row r="36" spans="2:8" x14ac:dyDescent="0.25">
      <c r="B36" s="203" t="s">
        <v>107</v>
      </c>
      <c r="C36" s="204"/>
      <c r="D36" s="204"/>
      <c r="E36" s="204"/>
      <c r="F36" s="20"/>
      <c r="G36" s="205"/>
      <c r="H36" s="119">
        <f>SUM(H30:H34)</f>
        <v>186299791.5</v>
      </c>
    </row>
    <row r="38" spans="2:8" x14ac:dyDescent="0.25">
      <c r="B38" s="13" t="s">
        <v>504</v>
      </c>
      <c r="C38" s="13" t="s">
        <v>40</v>
      </c>
      <c r="D38" s="13" t="s">
        <v>41</v>
      </c>
      <c r="E38" s="13" t="s">
        <v>42</v>
      </c>
      <c r="F38" s="13" t="s">
        <v>554</v>
      </c>
      <c r="G38" s="13" t="s">
        <v>43</v>
      </c>
      <c r="H38" s="13" t="s">
        <v>44</v>
      </c>
    </row>
    <row r="39" spans="2:8" x14ac:dyDescent="0.25">
      <c r="B39" s="18" t="s">
        <v>269</v>
      </c>
      <c r="C39" s="21">
        <v>1</v>
      </c>
      <c r="D39" s="14" t="s">
        <v>230</v>
      </c>
      <c r="E39" s="121">
        <f>+Parámetros!D11*25%</f>
        <v>2877222.25</v>
      </c>
      <c r="F39" s="118">
        <v>0.5</v>
      </c>
      <c r="G39" s="23">
        <v>11</v>
      </c>
      <c r="H39" s="121">
        <f>E39*G39*F39</f>
        <v>15824722.375</v>
      </c>
    </row>
    <row r="40" spans="2:8" x14ac:dyDescent="0.25">
      <c r="B40" s="18" t="s">
        <v>108</v>
      </c>
      <c r="C40" s="21">
        <v>3</v>
      </c>
      <c r="D40" s="14" t="s">
        <v>194</v>
      </c>
      <c r="E40" s="121">
        <f>+Parámetros!C32</f>
        <v>1000000</v>
      </c>
      <c r="F40" s="13"/>
      <c r="G40" s="23"/>
      <c r="H40" s="121">
        <f>C40*E40</f>
        <v>3000000</v>
      </c>
    </row>
    <row r="41" spans="2:8" x14ac:dyDescent="0.25">
      <c r="B41" s="18" t="s">
        <v>272</v>
      </c>
      <c r="C41" s="21">
        <v>3</v>
      </c>
      <c r="D41" s="14" t="s">
        <v>273</v>
      </c>
      <c r="E41" s="121">
        <f>+Parámetros!F21</f>
        <v>2329540.5</v>
      </c>
      <c r="F41" s="214"/>
      <c r="G41" s="23"/>
      <c r="H41" s="121">
        <f>C41*E41</f>
        <v>6988621.5</v>
      </c>
    </row>
    <row r="42" spans="2:8" ht="24.75" x14ac:dyDescent="0.25">
      <c r="B42" s="18" t="s">
        <v>274</v>
      </c>
      <c r="C42" s="21"/>
      <c r="D42" s="14"/>
      <c r="E42" s="121"/>
      <c r="F42" s="20"/>
      <c r="G42" s="23"/>
      <c r="H42" s="97" t="s">
        <v>218</v>
      </c>
    </row>
    <row r="43" spans="2:8" x14ac:dyDescent="0.25">
      <c r="B43" s="203" t="s">
        <v>107</v>
      </c>
      <c r="C43" s="204"/>
      <c r="D43" s="204"/>
      <c r="E43" s="204"/>
      <c r="F43" s="20"/>
      <c r="G43" s="205"/>
      <c r="H43" s="119">
        <f>SUM(H39:H41)</f>
        <v>25813343.875</v>
      </c>
    </row>
    <row r="46" spans="2:8" x14ac:dyDescent="0.25">
      <c r="B46" s="13" t="s">
        <v>505</v>
      </c>
      <c r="C46" s="13" t="s">
        <v>40</v>
      </c>
      <c r="D46" s="13" t="s">
        <v>41</v>
      </c>
      <c r="E46" s="13" t="s">
        <v>42</v>
      </c>
      <c r="F46" s="13" t="s">
        <v>43</v>
      </c>
      <c r="G46" s="13" t="s">
        <v>44</v>
      </c>
    </row>
    <row r="47" spans="2:8" x14ac:dyDescent="0.25">
      <c r="B47" s="18" t="s">
        <v>269</v>
      </c>
      <c r="C47" s="21">
        <v>1</v>
      </c>
      <c r="D47" s="14" t="s">
        <v>230</v>
      </c>
      <c r="E47" s="121">
        <f>+Parámetros!D11*25%</f>
        <v>2877222.25</v>
      </c>
      <c r="F47" s="23">
        <v>11</v>
      </c>
      <c r="G47" s="121">
        <f>E47*F47</f>
        <v>31649444.75</v>
      </c>
    </row>
    <row r="48" spans="2:8" x14ac:dyDescent="0.25">
      <c r="B48" s="18" t="s">
        <v>269</v>
      </c>
      <c r="C48" s="21">
        <v>1</v>
      </c>
      <c r="D48" s="14" t="s">
        <v>230</v>
      </c>
      <c r="E48" s="121">
        <f>+Parámetros!D11*25%</f>
        <v>2877222.25</v>
      </c>
      <c r="F48" s="23">
        <v>11</v>
      </c>
      <c r="G48" s="121">
        <f>E48*F48</f>
        <v>31649444.75</v>
      </c>
    </row>
    <row r="49" spans="2:7" x14ac:dyDescent="0.25">
      <c r="B49" s="18" t="s">
        <v>270</v>
      </c>
      <c r="C49" s="21">
        <v>6</v>
      </c>
      <c r="D49" s="14" t="s">
        <v>271</v>
      </c>
      <c r="E49" s="121">
        <f>+Parámetros!C32</f>
        <v>1000000</v>
      </c>
      <c r="F49" s="23"/>
      <c r="G49" s="121">
        <f>C49*E49</f>
        <v>6000000</v>
      </c>
    </row>
    <row r="50" spans="2:7" x14ac:dyDescent="0.25">
      <c r="B50" s="18" t="s">
        <v>272</v>
      </c>
      <c r="C50" s="21">
        <v>3</v>
      </c>
      <c r="D50" s="14" t="s">
        <v>273</v>
      </c>
      <c r="E50" s="121">
        <f>+Parámetros!F21</f>
        <v>2329540.5</v>
      </c>
      <c r="F50" s="23"/>
      <c r="G50" s="121">
        <f>C50*E50</f>
        <v>6988621.5</v>
      </c>
    </row>
    <row r="51" spans="2:7" x14ac:dyDescent="0.25">
      <c r="B51" s="18" t="s">
        <v>45</v>
      </c>
      <c r="C51" s="21">
        <v>3</v>
      </c>
      <c r="D51" s="14" t="s">
        <v>273</v>
      </c>
      <c r="E51" s="121">
        <f>+Parámetros!F21</f>
        <v>2329540.5</v>
      </c>
      <c r="F51" s="23"/>
      <c r="G51" s="121">
        <f>C51*E51</f>
        <v>6988621.5</v>
      </c>
    </row>
    <row r="52" spans="2:7" ht="48" x14ac:dyDescent="0.25">
      <c r="B52" s="18" t="s">
        <v>275</v>
      </c>
      <c r="C52" s="21"/>
      <c r="D52" s="14"/>
      <c r="E52" s="121"/>
      <c r="F52" s="23"/>
      <c r="G52" s="97" t="s">
        <v>218</v>
      </c>
    </row>
    <row r="53" spans="2:7" x14ac:dyDescent="0.25">
      <c r="B53" s="122"/>
      <c r="C53" s="106"/>
      <c r="D53" s="107"/>
      <c r="E53" s="123"/>
      <c r="F53" s="108"/>
      <c r="G53" s="97"/>
    </row>
    <row r="54" spans="2:7" x14ac:dyDescent="0.25">
      <c r="B54" s="329" t="s">
        <v>107</v>
      </c>
      <c r="C54" s="330"/>
      <c r="D54" s="330"/>
      <c r="E54" s="330"/>
      <c r="F54" s="331"/>
      <c r="G54" s="119">
        <f>SUM(G47:G51)</f>
        <v>83276132.5</v>
      </c>
    </row>
    <row r="56" spans="2:7" x14ac:dyDescent="0.25">
      <c r="B56" s="13" t="s">
        <v>506</v>
      </c>
      <c r="C56" s="13" t="s">
        <v>40</v>
      </c>
      <c r="D56" s="13" t="s">
        <v>41</v>
      </c>
      <c r="E56" s="13" t="s">
        <v>42</v>
      </c>
      <c r="F56" s="13" t="s">
        <v>43</v>
      </c>
      <c r="G56" s="13" t="s">
        <v>44</v>
      </c>
    </row>
    <row r="57" spans="2:7" x14ac:dyDescent="0.25">
      <c r="B57" s="18" t="s">
        <v>269</v>
      </c>
      <c r="C57" s="21">
        <v>1</v>
      </c>
      <c r="D57" s="14" t="s">
        <v>230</v>
      </c>
      <c r="E57" s="121">
        <f>+Parámetros!D11*25%</f>
        <v>2877222.25</v>
      </c>
      <c r="F57" s="23">
        <v>11</v>
      </c>
      <c r="G57" s="121">
        <f>E57*F57</f>
        <v>31649444.75</v>
      </c>
    </row>
    <row r="58" spans="2:7" x14ac:dyDescent="0.25">
      <c r="B58" s="18" t="s">
        <v>269</v>
      </c>
      <c r="C58" s="21">
        <v>1</v>
      </c>
      <c r="D58" s="14" t="s">
        <v>230</v>
      </c>
      <c r="E58" s="121">
        <f>+Parámetros!D11*25%</f>
        <v>2877222.25</v>
      </c>
      <c r="F58" s="23">
        <v>11</v>
      </c>
      <c r="G58" s="121">
        <f>E58*F58</f>
        <v>31649444.75</v>
      </c>
    </row>
    <row r="59" spans="2:7" x14ac:dyDescent="0.25">
      <c r="B59" s="18" t="s">
        <v>270</v>
      </c>
      <c r="C59" s="21">
        <v>6</v>
      </c>
      <c r="D59" s="14" t="s">
        <v>271</v>
      </c>
      <c r="E59" s="121">
        <f>+Parámetros!C32</f>
        <v>1000000</v>
      </c>
      <c r="F59" s="23"/>
      <c r="G59" s="121">
        <f>C59*E59</f>
        <v>6000000</v>
      </c>
    </row>
    <row r="60" spans="2:7" x14ac:dyDescent="0.25">
      <c r="B60" s="18" t="s">
        <v>272</v>
      </c>
      <c r="C60" s="21">
        <v>3</v>
      </c>
      <c r="D60" s="14" t="s">
        <v>273</v>
      </c>
      <c r="E60" s="121">
        <f>+Parámetros!F21</f>
        <v>2329540.5</v>
      </c>
      <c r="F60" s="23"/>
      <c r="G60" s="121">
        <f>C60*E60</f>
        <v>6988621.5</v>
      </c>
    </row>
    <row r="61" spans="2:7" x14ac:dyDescent="0.25">
      <c r="B61" s="18" t="s">
        <v>45</v>
      </c>
      <c r="C61" s="21">
        <v>3</v>
      </c>
      <c r="D61" s="14" t="s">
        <v>273</v>
      </c>
      <c r="E61" s="121">
        <f>+Parámetros!F21</f>
        <v>2329540.5</v>
      </c>
      <c r="F61" s="23"/>
      <c r="G61" s="121">
        <f>C61*E61</f>
        <v>6988621.5</v>
      </c>
    </row>
    <row r="62" spans="2:7" ht="24.75" x14ac:dyDescent="0.25">
      <c r="B62" s="122"/>
      <c r="C62" s="106"/>
      <c r="D62" s="107"/>
      <c r="E62" s="123"/>
      <c r="F62" s="108"/>
      <c r="G62" s="97" t="str">
        <f>+Parámetros!C4</f>
        <v>Presupuesto relativo</v>
      </c>
    </row>
    <row r="63" spans="2:7" x14ac:dyDescent="0.25">
      <c r="B63" s="329" t="s">
        <v>107</v>
      </c>
      <c r="C63" s="330"/>
      <c r="D63" s="330"/>
      <c r="E63" s="330"/>
      <c r="F63" s="331"/>
      <c r="G63" s="119">
        <f>SUM(G57:G62)</f>
        <v>83276132.5</v>
      </c>
    </row>
    <row r="64" spans="2:7" x14ac:dyDescent="0.25">
      <c r="C64" s="124"/>
      <c r="D64" s="124"/>
      <c r="E64" s="124"/>
      <c r="F64" s="124"/>
      <c r="G64" s="125"/>
    </row>
    <row r="66" spans="2:7" x14ac:dyDescent="0.25">
      <c r="B66" s="13" t="s">
        <v>507</v>
      </c>
      <c r="C66" s="13" t="s">
        <v>40</v>
      </c>
      <c r="D66" s="13" t="s">
        <v>41</v>
      </c>
      <c r="E66" s="13" t="s">
        <v>42</v>
      </c>
      <c r="F66" s="13" t="s">
        <v>43</v>
      </c>
      <c r="G66" s="13" t="s">
        <v>44</v>
      </c>
    </row>
    <row r="67" spans="2:7" x14ac:dyDescent="0.25">
      <c r="B67" s="18" t="s">
        <v>269</v>
      </c>
      <c r="C67" s="21">
        <v>1</v>
      </c>
      <c r="D67" s="14" t="s">
        <v>230</v>
      </c>
      <c r="E67" s="121">
        <f>+Parámetros!D11*25%</f>
        <v>2877222.25</v>
      </c>
      <c r="F67" s="23">
        <v>11</v>
      </c>
      <c r="G67" s="121">
        <v>28175730</v>
      </c>
    </row>
    <row r="68" spans="2:7" x14ac:dyDescent="0.25">
      <c r="B68" s="18" t="s">
        <v>269</v>
      </c>
      <c r="C68" s="21">
        <v>1</v>
      </c>
      <c r="D68" s="14" t="s">
        <v>230</v>
      </c>
      <c r="E68" s="121">
        <f>+Parámetros!D11*25%</f>
        <v>2877222.25</v>
      </c>
      <c r="F68" s="23">
        <v>11</v>
      </c>
      <c r="G68" s="121">
        <v>28175730</v>
      </c>
    </row>
    <row r="69" spans="2:7" x14ac:dyDescent="0.25">
      <c r="B69" s="18" t="s">
        <v>270</v>
      </c>
      <c r="C69" s="21">
        <v>6</v>
      </c>
      <c r="D69" s="14" t="s">
        <v>271</v>
      </c>
      <c r="E69" s="121">
        <f>+Parámetros!C32</f>
        <v>1000000</v>
      </c>
      <c r="F69" s="23"/>
      <c r="G69" s="121">
        <v>6000000</v>
      </c>
    </row>
    <row r="70" spans="2:7" x14ac:dyDescent="0.25">
      <c r="B70" s="18" t="s">
        <v>272</v>
      </c>
      <c r="C70" s="21">
        <v>3</v>
      </c>
      <c r="D70" s="14" t="s">
        <v>273</v>
      </c>
      <c r="E70" s="121">
        <f>+Parámetros!F21</f>
        <v>2329540.5</v>
      </c>
      <c r="F70" s="23"/>
      <c r="G70" s="121">
        <v>5777646</v>
      </c>
    </row>
    <row r="71" spans="2:7" x14ac:dyDescent="0.25">
      <c r="B71" s="18" t="s">
        <v>45</v>
      </c>
      <c r="C71" s="21">
        <v>3</v>
      </c>
      <c r="D71" s="14" t="s">
        <v>273</v>
      </c>
      <c r="E71" s="121">
        <f>+Parámetros!F21</f>
        <v>2329540.5</v>
      </c>
      <c r="F71" s="23"/>
      <c r="G71" s="121">
        <v>5777646</v>
      </c>
    </row>
    <row r="72" spans="2:7" ht="24.75" x14ac:dyDescent="0.25">
      <c r="B72" s="122"/>
      <c r="C72" s="106"/>
      <c r="D72" s="107"/>
      <c r="E72" s="123"/>
      <c r="F72" s="108"/>
      <c r="G72" s="97" t="str">
        <f>+Parámetros!C4</f>
        <v>Presupuesto relativo</v>
      </c>
    </row>
    <row r="73" spans="2:7" x14ac:dyDescent="0.25">
      <c r="B73" s="329" t="s">
        <v>107</v>
      </c>
      <c r="C73" s="330"/>
      <c r="D73" s="330"/>
      <c r="E73" s="330"/>
      <c r="F73" s="331"/>
      <c r="G73" s="119">
        <f>SUM(G67:G72)</f>
        <v>73906752</v>
      </c>
    </row>
  </sheetData>
  <sheetProtection sheet="1" formatCells="0" formatColumns="0" formatRows="0" insertColumns="0" insertRows="0" insertHyperlinks="0" deleteColumns="0" deleteRows="0" sort="0" autoFilter="0" pivotTables="0"/>
  <mergeCells count="4">
    <mergeCell ref="B73:F73"/>
    <mergeCell ref="B54:F54"/>
    <mergeCell ref="B63:F63"/>
    <mergeCell ref="B20:H21"/>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X32"/>
  <sheetViews>
    <sheetView topLeftCell="A3"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2.42578125" style="1" bestFit="1" customWidth="1"/>
    <col min="5" max="5" width="12.85546875" style="1" bestFit="1" customWidth="1"/>
    <col min="6" max="10" width="14.42578125" style="1" bestFit="1" customWidth="1"/>
    <col min="11" max="22" width="13.140625" style="1" bestFit="1" customWidth="1"/>
    <col min="23" max="23" width="14.570312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detallado'!B129</f>
        <v xml:space="preserve">PROGRAMA 8. Institucionalidad arrocera </v>
      </c>
    </row>
    <row r="5" spans="2:24" x14ac:dyDescent="0.25">
      <c r="B5" s="15" t="str">
        <f>+'Presupuesto detallado'!B138</f>
        <v xml:space="preserve">8.2. Fortalecimiento de las relaciones de cooperación y asociatividad estratégica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detallado'!B139</f>
        <v xml:space="preserve">8.2.1. Socialización y replica de los modelos asociativos y experiencias exitosas en el país de manera diferenciada para las regiones arroceras </v>
      </c>
      <c r="C8" s="19" t="s">
        <v>496</v>
      </c>
      <c r="D8" s="56"/>
      <c r="E8" s="56"/>
      <c r="F8" s="20"/>
      <c r="G8" s="20"/>
      <c r="H8" s="117">
        <f>+$H$19</f>
        <v>203858814</v>
      </c>
      <c r="I8" s="117">
        <f t="shared" ref="I8:P8" si="0">+$H$19</f>
        <v>203858814</v>
      </c>
      <c r="J8" s="117">
        <f t="shared" si="0"/>
        <v>203858814</v>
      </c>
      <c r="K8" s="117">
        <f t="shared" si="0"/>
        <v>203858814</v>
      </c>
      <c r="L8" s="117">
        <f t="shared" si="0"/>
        <v>203858814</v>
      </c>
      <c r="M8" s="117">
        <f t="shared" si="0"/>
        <v>203858814</v>
      </c>
      <c r="N8" s="117">
        <f t="shared" si="0"/>
        <v>203858814</v>
      </c>
      <c r="O8" s="117">
        <f t="shared" si="0"/>
        <v>203858814</v>
      </c>
      <c r="P8" s="117">
        <f t="shared" si="0"/>
        <v>203858814</v>
      </c>
      <c r="Q8" s="56"/>
      <c r="R8" s="56"/>
      <c r="S8" s="56"/>
      <c r="T8" s="117"/>
      <c r="U8" s="56"/>
      <c r="V8" s="56"/>
      <c r="W8" s="116">
        <f>SUM(D8:V8)</f>
        <v>1834729326</v>
      </c>
    </row>
    <row r="9" spans="2:24" ht="48" x14ac:dyDescent="0.25">
      <c r="B9" s="18" t="str">
        <f>+'Presupuesto detallado'!B140</f>
        <v>8.2.2. Fortalecimiento de los diferentes esquemas de asociación y promoción del cooperativismo  para generar economías de escala y desarrollo conjunto de negocios en la cadena de arroz</v>
      </c>
      <c r="C9" s="19" t="s">
        <v>497</v>
      </c>
      <c r="D9" s="56"/>
      <c r="E9" s="56"/>
      <c r="F9" s="20"/>
      <c r="G9" s="20"/>
      <c r="H9" s="117">
        <f>+$H$26</f>
        <v>183810876</v>
      </c>
      <c r="I9" s="117">
        <f t="shared" ref="I9:V9" si="1">+$H$26</f>
        <v>183810876</v>
      </c>
      <c r="J9" s="117">
        <f t="shared" si="1"/>
        <v>183810876</v>
      </c>
      <c r="K9" s="117">
        <f t="shared" si="1"/>
        <v>183810876</v>
      </c>
      <c r="L9" s="117">
        <f t="shared" si="1"/>
        <v>183810876</v>
      </c>
      <c r="M9" s="117">
        <f t="shared" si="1"/>
        <v>183810876</v>
      </c>
      <c r="N9" s="117">
        <f t="shared" si="1"/>
        <v>183810876</v>
      </c>
      <c r="O9" s="117">
        <f t="shared" si="1"/>
        <v>183810876</v>
      </c>
      <c r="P9" s="117">
        <f t="shared" si="1"/>
        <v>183810876</v>
      </c>
      <c r="Q9" s="117">
        <f t="shared" si="1"/>
        <v>183810876</v>
      </c>
      <c r="R9" s="117">
        <f t="shared" si="1"/>
        <v>183810876</v>
      </c>
      <c r="S9" s="117">
        <f t="shared" si="1"/>
        <v>183810876</v>
      </c>
      <c r="T9" s="117">
        <f t="shared" si="1"/>
        <v>183810876</v>
      </c>
      <c r="U9" s="117">
        <f t="shared" si="1"/>
        <v>183810876</v>
      </c>
      <c r="V9" s="117">
        <f t="shared" si="1"/>
        <v>183810876</v>
      </c>
      <c r="W9" s="116">
        <f>SUM(D9:V9)</f>
        <v>2757163140</v>
      </c>
    </row>
    <row r="10" spans="2:24" ht="24" x14ac:dyDescent="0.25">
      <c r="B10" s="18" t="str">
        <f>+'Presupuesto detallado'!B141</f>
        <v>8.2.3. Consolidación del Consejo Nacional del Arroz como órgano consultivo asesor</v>
      </c>
      <c r="C10" s="19" t="s">
        <v>494</v>
      </c>
      <c r="D10" s="127">
        <f>+H30</f>
        <v>33810876</v>
      </c>
      <c r="E10" s="127">
        <f>+H30</f>
        <v>33810876</v>
      </c>
      <c r="F10" s="117">
        <f>H30</f>
        <v>33810876</v>
      </c>
      <c r="G10" s="117">
        <f>+H30</f>
        <v>33810876</v>
      </c>
      <c r="H10" s="117">
        <f>+H30</f>
        <v>33810876</v>
      </c>
      <c r="I10" s="117"/>
      <c r="J10" s="117"/>
      <c r="K10" s="56"/>
      <c r="L10" s="56"/>
      <c r="M10" s="56"/>
      <c r="N10" s="56"/>
      <c r="O10" s="56"/>
      <c r="P10" s="56"/>
      <c r="Q10" s="56"/>
      <c r="R10" s="56"/>
      <c r="S10" s="56"/>
      <c r="T10" s="56"/>
      <c r="U10" s="56"/>
      <c r="V10" s="56"/>
      <c r="W10" s="116">
        <f>SUM(D10:V10)</f>
        <v>169054380</v>
      </c>
    </row>
    <row r="11" spans="2:24" ht="24" customHeight="1" x14ac:dyDescent="0.25">
      <c r="W11" s="156">
        <f>SUM(W8:W10)</f>
        <v>4760946846</v>
      </c>
    </row>
    <row r="12" spans="2:24" x14ac:dyDescent="0.25">
      <c r="B12" s="13" t="s">
        <v>508</v>
      </c>
      <c r="C12" s="13" t="s">
        <v>40</v>
      </c>
      <c r="D12" s="13" t="s">
        <v>41</v>
      </c>
      <c r="E12" s="13" t="s">
        <v>42</v>
      </c>
      <c r="F12" s="13" t="s">
        <v>554</v>
      </c>
      <c r="G12" s="13" t="s">
        <v>43</v>
      </c>
      <c r="H12" s="13" t="s">
        <v>44</v>
      </c>
      <c r="W12" s="156">
        <f>+'Presupuesto detallado'!V138</f>
        <v>4760946846</v>
      </c>
    </row>
    <row r="13" spans="2:24" x14ac:dyDescent="0.25">
      <c r="B13" s="18" t="s">
        <v>666</v>
      </c>
      <c r="C13" s="21">
        <v>1</v>
      </c>
      <c r="D13" s="14" t="s">
        <v>230</v>
      </c>
      <c r="E13" s="121">
        <f>+Parámetros!D12</f>
        <v>10245720</v>
      </c>
      <c r="F13" s="118">
        <v>0.4</v>
      </c>
      <c r="G13" s="23">
        <v>11</v>
      </c>
      <c r="H13" s="121">
        <f>+C13*E13*G13*F13</f>
        <v>45081168</v>
      </c>
      <c r="W13" s="220">
        <f>+W11-W12</f>
        <v>0</v>
      </c>
    </row>
    <row r="14" spans="2:24" x14ac:dyDescent="0.25">
      <c r="B14" s="18" t="s">
        <v>108</v>
      </c>
      <c r="C14" s="21">
        <v>3</v>
      </c>
      <c r="D14" s="14" t="s">
        <v>194</v>
      </c>
      <c r="E14" s="121">
        <f>+Parámetros!C32</f>
        <v>1000000</v>
      </c>
      <c r="F14" s="118"/>
      <c r="G14" s="23"/>
      <c r="H14" s="121">
        <f>+C14*E14</f>
        <v>3000000</v>
      </c>
    </row>
    <row r="15" spans="2:24" x14ac:dyDescent="0.25">
      <c r="B15" s="18" t="s">
        <v>272</v>
      </c>
      <c r="C15" s="21">
        <v>3</v>
      </c>
      <c r="D15" s="14" t="s">
        <v>273</v>
      </c>
      <c r="E15" s="121">
        <f>+Parámetros!F22</f>
        <v>1925882</v>
      </c>
      <c r="F15" s="118"/>
      <c r="G15" s="23"/>
      <c r="H15" s="121">
        <f>+C15*E15</f>
        <v>5777646</v>
      </c>
    </row>
    <row r="16" spans="2:24" x14ac:dyDescent="0.25">
      <c r="B16" s="18" t="s">
        <v>205</v>
      </c>
      <c r="C16" s="21">
        <v>3</v>
      </c>
      <c r="D16" s="14" t="s">
        <v>104</v>
      </c>
      <c r="E16" s="121">
        <v>50000000</v>
      </c>
      <c r="F16" s="118"/>
      <c r="G16" s="23"/>
      <c r="H16" s="121">
        <f>+C16*E16</f>
        <v>150000000</v>
      </c>
      <c r="I16" s="273"/>
    </row>
    <row r="17" spans="2:8" ht="24.75" x14ac:dyDescent="0.25">
      <c r="B17" s="18" t="s">
        <v>277</v>
      </c>
      <c r="C17" s="21"/>
      <c r="D17" s="14"/>
      <c r="E17" s="121"/>
      <c r="F17" s="118"/>
      <c r="G17" s="23"/>
      <c r="H17" s="126" t="s">
        <v>218</v>
      </c>
    </row>
    <row r="18" spans="2:8" ht="24.75" x14ac:dyDescent="0.25">
      <c r="B18" s="18" t="s">
        <v>729</v>
      </c>
      <c r="C18" s="21"/>
      <c r="D18" s="14"/>
      <c r="E18" s="121"/>
      <c r="F18" s="118"/>
      <c r="G18" s="23"/>
      <c r="H18" s="126" t="s">
        <v>218</v>
      </c>
    </row>
    <row r="19" spans="2:8" x14ac:dyDescent="0.25">
      <c r="B19" s="24" t="s">
        <v>46</v>
      </c>
      <c r="C19" s="25"/>
      <c r="D19" s="14"/>
      <c r="E19" s="13"/>
      <c r="F19" s="261"/>
      <c r="G19" s="13"/>
      <c r="H19" s="26">
        <f>SUM(H13:H18)</f>
        <v>203858814</v>
      </c>
    </row>
    <row r="20" spans="2:8" x14ac:dyDescent="0.25">
      <c r="B20" s="5"/>
      <c r="C20" s="5"/>
      <c r="D20" s="5"/>
      <c r="E20" s="5"/>
      <c r="F20" s="5"/>
      <c r="G20" s="5"/>
    </row>
    <row r="21" spans="2:8" x14ac:dyDescent="0.25">
      <c r="B21" s="5"/>
      <c r="C21" s="5"/>
      <c r="D21" s="5"/>
      <c r="E21" s="5"/>
      <c r="F21" s="5"/>
      <c r="G21" s="5"/>
    </row>
    <row r="22" spans="2:8" x14ac:dyDescent="0.25">
      <c r="B22" s="13" t="s">
        <v>509</v>
      </c>
      <c r="C22" s="13" t="s">
        <v>40</v>
      </c>
      <c r="D22" s="13" t="s">
        <v>41</v>
      </c>
      <c r="E22" s="13" t="s">
        <v>42</v>
      </c>
      <c r="F22" s="13" t="s">
        <v>554</v>
      </c>
      <c r="G22" s="13" t="s">
        <v>43</v>
      </c>
      <c r="H22" s="13" t="s">
        <v>44</v>
      </c>
    </row>
    <row r="23" spans="2:8" x14ac:dyDescent="0.25">
      <c r="B23" s="18" t="s">
        <v>666</v>
      </c>
      <c r="C23" s="21">
        <v>1</v>
      </c>
      <c r="D23" s="14" t="s">
        <v>230</v>
      </c>
      <c r="E23" s="121">
        <f>+Parámetros!D12</f>
        <v>10245720</v>
      </c>
      <c r="F23" s="118">
        <v>0.3</v>
      </c>
      <c r="G23" s="23">
        <v>11</v>
      </c>
      <c r="H23" s="121">
        <f>+E23*G23*F23</f>
        <v>33810876</v>
      </c>
    </row>
    <row r="24" spans="2:8" x14ac:dyDescent="0.25">
      <c r="B24" s="122" t="s">
        <v>205</v>
      </c>
      <c r="C24" s="21">
        <v>5</v>
      </c>
      <c r="D24" s="14" t="s">
        <v>199</v>
      </c>
      <c r="E24" s="77">
        <v>30000000</v>
      </c>
      <c r="F24" s="23"/>
      <c r="G24" s="96"/>
      <c r="H24" s="121">
        <f>+C24*E24</f>
        <v>150000000</v>
      </c>
    </row>
    <row r="25" spans="2:8" ht="24.75" x14ac:dyDescent="0.25">
      <c r="B25" s="56" t="s">
        <v>278</v>
      </c>
      <c r="C25" s="21"/>
      <c r="D25" s="14"/>
      <c r="E25" s="22"/>
      <c r="F25" s="118"/>
      <c r="G25" s="23"/>
      <c r="H25" s="126" t="s">
        <v>218</v>
      </c>
    </row>
    <row r="26" spans="2:8" x14ac:dyDescent="0.25">
      <c r="B26" s="203" t="s">
        <v>234</v>
      </c>
      <c r="C26" s="204"/>
      <c r="D26" s="204"/>
      <c r="E26" s="204"/>
      <c r="F26" s="20"/>
      <c r="G26" s="205"/>
      <c r="H26" s="26">
        <f>SUM(H23:H25)</f>
        <v>183810876</v>
      </c>
    </row>
    <row r="27" spans="2:8" x14ac:dyDescent="0.25">
      <c r="B27" s="248"/>
      <c r="C27" s="248"/>
      <c r="D27" s="248"/>
      <c r="E27" s="248"/>
      <c r="G27" s="248"/>
      <c r="H27" s="93"/>
    </row>
    <row r="29" spans="2:8" x14ac:dyDescent="0.25">
      <c r="B29" s="13" t="s">
        <v>510</v>
      </c>
      <c r="C29" s="13" t="s">
        <v>40</v>
      </c>
      <c r="D29" s="13" t="s">
        <v>41</v>
      </c>
      <c r="E29" s="13" t="s">
        <v>42</v>
      </c>
      <c r="F29" s="13" t="s">
        <v>554</v>
      </c>
      <c r="G29" s="13" t="s">
        <v>43</v>
      </c>
      <c r="H29" s="13" t="s">
        <v>44</v>
      </c>
    </row>
    <row r="30" spans="2:8" x14ac:dyDescent="0.25">
      <c r="B30" s="18" t="s">
        <v>666</v>
      </c>
      <c r="C30" s="21">
        <v>1</v>
      </c>
      <c r="D30" s="14" t="s">
        <v>230</v>
      </c>
      <c r="E30" s="121">
        <f>+Parámetros!D12</f>
        <v>10245720</v>
      </c>
      <c r="F30" s="118">
        <v>0.3</v>
      </c>
      <c r="G30" s="23">
        <v>11</v>
      </c>
      <c r="H30" s="121">
        <f>+E30*G30*F30</f>
        <v>33810876</v>
      </c>
    </row>
    <row r="31" spans="2:8" s="171" customFormat="1" ht="24" x14ac:dyDescent="0.2">
      <c r="B31" s="56" t="s">
        <v>279</v>
      </c>
      <c r="C31" s="55"/>
      <c r="D31" s="56"/>
      <c r="E31" s="134"/>
      <c r="F31" s="23"/>
      <c r="G31" s="80"/>
      <c r="H31" s="170" t="s">
        <v>218</v>
      </c>
    </row>
    <row r="32" spans="2:8" x14ac:dyDescent="0.25">
      <c r="B32" s="203" t="s">
        <v>107</v>
      </c>
      <c r="C32" s="204"/>
      <c r="D32" s="204"/>
      <c r="E32" s="204"/>
      <c r="F32" s="118"/>
      <c r="G32" s="205"/>
      <c r="H32" s="172">
        <f>SUM(H30:H31)</f>
        <v>33810876</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24"/>
  <dimension ref="B2:X34"/>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3.42578125" style="1" bestFit="1" customWidth="1"/>
    <col min="6" max="6" width="11.5703125" style="1" bestFit="1" customWidth="1"/>
    <col min="7" max="7" width="13.85546875" style="1" bestFit="1" customWidth="1"/>
    <col min="8" max="9" width="14" style="1" bestFit="1" customWidth="1"/>
    <col min="10" max="10" width="14.140625" style="1" bestFit="1" customWidth="1"/>
    <col min="11" max="11" width="14" style="1" bestFit="1" customWidth="1"/>
    <col min="12" max="12" width="11.42578125" style="1"/>
    <col min="13" max="13" width="13" style="1" bestFit="1" customWidth="1"/>
    <col min="14" max="14" width="11.42578125" style="1"/>
    <col min="15" max="15" width="14" style="1" bestFit="1" customWidth="1"/>
    <col min="16" max="16" width="13" style="1" bestFit="1" customWidth="1"/>
    <col min="17" max="18" width="11.42578125" style="1"/>
    <col min="19" max="19" width="14" style="1" bestFit="1" customWidth="1"/>
    <col min="20" max="21" width="11.42578125" style="1"/>
    <col min="22" max="22" width="13" style="1" bestFit="1" customWidth="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detallado'!B143</f>
        <v>9.1. Promoción de la inclusión de los pequeños y medianos productores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56.25" customHeight="1" x14ac:dyDescent="0.25">
      <c r="B8" s="18" t="str">
        <f>+'Presupuesto detallado'!B144</f>
        <v>9.1.1. Fortalecimiento de las capacidades para la participación de las familias, organizaciones y comunidades de la Agricultura Campesina, Familiar y Comunitaria (ACFC), vinculadas a la cadena de arroz</v>
      </c>
      <c r="C8" s="19" t="s">
        <v>497</v>
      </c>
      <c r="D8" s="20"/>
      <c r="E8" s="20"/>
      <c r="F8" s="20"/>
      <c r="G8" s="20"/>
      <c r="H8" s="53">
        <f>+G16</f>
        <v>178000902</v>
      </c>
      <c r="I8" s="53">
        <f>+G16</f>
        <v>178000902</v>
      </c>
      <c r="J8" s="53" t="str">
        <f t="shared" ref="J8:V8" si="0">+$G$15</f>
        <v>Presupuesto relativo</v>
      </c>
      <c r="K8" s="53" t="str">
        <f t="shared" si="0"/>
        <v>Presupuesto relativo</v>
      </c>
      <c r="L8" s="53" t="str">
        <f t="shared" si="0"/>
        <v>Presupuesto relativo</v>
      </c>
      <c r="M8" s="53" t="str">
        <f t="shared" si="0"/>
        <v>Presupuesto relativo</v>
      </c>
      <c r="N8" s="53" t="str">
        <f t="shared" si="0"/>
        <v>Presupuesto relativo</v>
      </c>
      <c r="O8" s="53" t="str">
        <f t="shared" si="0"/>
        <v>Presupuesto relativo</v>
      </c>
      <c r="P8" s="53" t="str">
        <f t="shared" si="0"/>
        <v>Presupuesto relativo</v>
      </c>
      <c r="Q8" s="53" t="str">
        <f t="shared" si="0"/>
        <v>Presupuesto relativo</v>
      </c>
      <c r="R8" s="53" t="str">
        <f t="shared" si="0"/>
        <v>Presupuesto relativo</v>
      </c>
      <c r="S8" s="53" t="str">
        <f t="shared" si="0"/>
        <v>Presupuesto relativo</v>
      </c>
      <c r="T8" s="53" t="str">
        <f t="shared" si="0"/>
        <v>Presupuesto relativo</v>
      </c>
      <c r="U8" s="53" t="str">
        <f t="shared" si="0"/>
        <v>Presupuesto relativo</v>
      </c>
      <c r="V8" s="53" t="str">
        <f t="shared" si="0"/>
        <v>Presupuesto relativo</v>
      </c>
      <c r="W8" s="53">
        <f>SUM(D8:V8)</f>
        <v>356001804</v>
      </c>
    </row>
    <row r="9" spans="2:24" ht="45.75" customHeight="1" x14ac:dyDescent="0.25">
      <c r="B9" s="18" t="str">
        <f>+'Presupuesto detallado'!B145</f>
        <v>9.1.2. Creación de mecanismos de protección para la inclusión de productores de secano manual, que contribuyen a la seguridad alimentaria en el territorio</v>
      </c>
      <c r="C9" s="19" t="s">
        <v>289</v>
      </c>
      <c r="D9" s="20"/>
      <c r="E9" s="20"/>
      <c r="F9" s="20"/>
      <c r="G9" s="20"/>
      <c r="H9" s="20"/>
      <c r="I9" s="53">
        <f>+G23</f>
        <v>95926752</v>
      </c>
      <c r="J9" s="53">
        <f>+G23</f>
        <v>95926752</v>
      </c>
      <c r="K9" s="53">
        <f>+G23</f>
        <v>95926752</v>
      </c>
      <c r="L9" s="20"/>
      <c r="M9" s="53"/>
      <c r="N9" s="20"/>
      <c r="O9" s="53"/>
      <c r="P9" s="53"/>
      <c r="Q9" s="20"/>
      <c r="R9" s="20"/>
      <c r="S9" s="53"/>
      <c r="T9" s="20"/>
      <c r="U9" s="20"/>
      <c r="V9" s="53"/>
      <c r="W9" s="53">
        <f>SUM(D9:V9)</f>
        <v>287780256</v>
      </c>
    </row>
    <row r="10" spans="2:24" ht="70.5" customHeight="1" x14ac:dyDescent="0.25">
      <c r="B10" s="18" t="str">
        <f>+'Presupuesto detallado'!B146</f>
        <v>9.1.3. Realización de campañas de sensibilización para la inclusión social, dirigidas a proveedores, productores, transformadores y comercializadores para aumentar la cobertura de la protección social de los pequeños y medianos productores, los trabajadores y sus familias</v>
      </c>
      <c r="C10" s="19" t="s">
        <v>155</v>
      </c>
      <c r="D10" s="20"/>
      <c r="E10" s="20"/>
      <c r="F10" s="20"/>
      <c r="G10" s="20"/>
      <c r="H10" s="20"/>
      <c r="I10" s="53">
        <f>+$G$28</f>
        <v>60000000</v>
      </c>
      <c r="J10" s="53">
        <f>+$G$28</f>
        <v>60000000</v>
      </c>
      <c r="K10" s="53">
        <f>+$G$28</f>
        <v>60000000</v>
      </c>
      <c r="L10" s="53">
        <f>+$G$28</f>
        <v>60000000</v>
      </c>
      <c r="M10" s="53">
        <f>+$G$28</f>
        <v>60000000</v>
      </c>
      <c r="N10" s="53" t="str">
        <f>+$G$29</f>
        <v>Presupuesto relativo</v>
      </c>
      <c r="O10" s="53" t="str">
        <f t="shared" ref="O10:V10" si="1">+$G$29</f>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300000000</v>
      </c>
    </row>
    <row r="11" spans="2:24" ht="24" customHeight="1" x14ac:dyDescent="0.25">
      <c r="W11" s="150">
        <f>SUM(W8:W10)</f>
        <v>943782060</v>
      </c>
    </row>
    <row r="12" spans="2:24" x14ac:dyDescent="0.25">
      <c r="B12" s="13" t="s">
        <v>516</v>
      </c>
      <c r="C12" s="13" t="s">
        <v>40</v>
      </c>
      <c r="D12" s="13" t="s">
        <v>41</v>
      </c>
      <c r="E12" s="13" t="s">
        <v>42</v>
      </c>
      <c r="F12" s="13" t="s">
        <v>43</v>
      </c>
      <c r="G12" s="13" t="s">
        <v>44</v>
      </c>
      <c r="W12" s="150">
        <f>+'Presupuesto detallado'!V143</f>
        <v>943782060</v>
      </c>
    </row>
    <row r="13" spans="2:24" x14ac:dyDescent="0.25">
      <c r="B13" s="14" t="s">
        <v>666</v>
      </c>
      <c r="C13" s="21">
        <v>1</v>
      </c>
      <c r="D13" s="14" t="s">
        <v>100</v>
      </c>
      <c r="E13" s="77">
        <f>+Parámetros!$D$13</f>
        <v>8000082</v>
      </c>
      <c r="F13" s="23">
        <v>11</v>
      </c>
      <c r="G13" s="77">
        <f>+C13*E13*F13</f>
        <v>88000902</v>
      </c>
      <c r="W13" s="201">
        <f>+W11-W12</f>
        <v>0</v>
      </c>
    </row>
    <row r="14" spans="2:24" x14ac:dyDescent="0.25">
      <c r="B14" s="14" t="s">
        <v>211</v>
      </c>
      <c r="C14" s="21">
        <v>3</v>
      </c>
      <c r="D14" s="14" t="s">
        <v>199</v>
      </c>
      <c r="E14" s="77">
        <v>30000000</v>
      </c>
      <c r="F14" s="23"/>
      <c r="G14" s="77">
        <f>+C14*E14</f>
        <v>90000000</v>
      </c>
    </row>
    <row r="15" spans="2:24" ht="24.75" x14ac:dyDescent="0.25">
      <c r="B15" s="56" t="s">
        <v>200</v>
      </c>
      <c r="C15" s="21"/>
      <c r="D15" s="14"/>
      <c r="E15" s="77"/>
      <c r="F15" s="23"/>
      <c r="G15" s="96" t="str">
        <f>+Parámetros!C4</f>
        <v>Presupuesto relativo</v>
      </c>
    </row>
    <row r="16" spans="2:24" x14ac:dyDescent="0.25">
      <c r="B16" s="24" t="s">
        <v>46</v>
      </c>
      <c r="C16" s="25"/>
      <c r="D16" s="14"/>
      <c r="E16" s="13"/>
      <c r="F16" s="13"/>
      <c r="G16" s="26">
        <f>SUM(G13:G14)</f>
        <v>178000902</v>
      </c>
    </row>
    <row r="17" spans="2:8" x14ac:dyDescent="0.25">
      <c r="B17" s="5"/>
      <c r="C17" s="5"/>
      <c r="D17" s="5"/>
      <c r="E17" s="5"/>
      <c r="F17" s="5"/>
      <c r="G17" s="5"/>
      <c r="H17" s="5"/>
    </row>
    <row r="18" spans="2:8" x14ac:dyDescent="0.25">
      <c r="B18" s="5"/>
      <c r="C18" s="5"/>
      <c r="D18" s="5"/>
      <c r="E18" s="5"/>
      <c r="F18" s="5"/>
      <c r="G18" s="5"/>
      <c r="H18" s="5"/>
    </row>
    <row r="19" spans="2:8" x14ac:dyDescent="0.25">
      <c r="B19" s="13" t="s">
        <v>517</v>
      </c>
      <c r="C19" s="13" t="s">
        <v>40</v>
      </c>
      <c r="D19" s="13" t="s">
        <v>41</v>
      </c>
      <c r="E19" s="13" t="s">
        <v>42</v>
      </c>
      <c r="F19" s="13" t="s">
        <v>43</v>
      </c>
      <c r="G19" s="13" t="s">
        <v>44</v>
      </c>
      <c r="H19" s="5"/>
    </row>
    <row r="20" spans="2:8" x14ac:dyDescent="0.25">
      <c r="B20" s="14" t="s">
        <v>191</v>
      </c>
      <c r="C20" s="21">
        <v>1</v>
      </c>
      <c r="D20" s="14" t="s">
        <v>100</v>
      </c>
      <c r="E20" s="77">
        <f>+Parámetros!D13</f>
        <v>8000082</v>
      </c>
      <c r="F20" s="23">
        <v>11</v>
      </c>
      <c r="G20" s="77">
        <f>+C20*E20*F20</f>
        <v>88000902</v>
      </c>
    </row>
    <row r="21" spans="2:8" x14ac:dyDescent="0.25">
      <c r="B21" s="14" t="s">
        <v>193</v>
      </c>
      <c r="C21" s="21">
        <v>2</v>
      </c>
      <c r="D21" s="14" t="s">
        <v>194</v>
      </c>
      <c r="E21" s="77">
        <f>+Parámetros!$C$32</f>
        <v>1000000</v>
      </c>
      <c r="F21" s="23"/>
      <c r="G21" s="77">
        <f>+C21*E21</f>
        <v>2000000</v>
      </c>
      <c r="H21" s="5"/>
    </row>
    <row r="22" spans="2:8" x14ac:dyDescent="0.25">
      <c r="B22" s="14" t="s">
        <v>45</v>
      </c>
      <c r="C22" s="21">
        <v>4</v>
      </c>
      <c r="D22" s="14" t="s">
        <v>195</v>
      </c>
      <c r="E22" s="77">
        <f>+Parámetros!$F$23</f>
        <v>1481462.5</v>
      </c>
      <c r="F22" s="23"/>
      <c r="G22" s="77">
        <f>+C22*E22</f>
        <v>5925850</v>
      </c>
      <c r="H22" s="5"/>
    </row>
    <row r="23" spans="2:8" x14ac:dyDescent="0.25">
      <c r="B23" s="24" t="s">
        <v>209</v>
      </c>
      <c r="C23" s="25"/>
      <c r="D23" s="14"/>
      <c r="E23" s="13"/>
      <c r="F23" s="13"/>
      <c r="G23" s="26">
        <f>SUM(G20:G22)</f>
        <v>95926752</v>
      </c>
      <c r="H23" s="82"/>
    </row>
    <row r="24" spans="2:8" x14ac:dyDescent="0.25">
      <c r="B24" s="5" t="s">
        <v>210</v>
      </c>
      <c r="C24" s="90"/>
      <c r="D24" s="91"/>
      <c r="E24" s="92"/>
      <c r="F24" s="92"/>
      <c r="G24" s="93"/>
      <c r="H24" s="82"/>
    </row>
    <row r="26" spans="2:8" x14ac:dyDescent="0.25">
      <c r="B26" s="13" t="s">
        <v>518</v>
      </c>
      <c r="C26" s="13" t="s">
        <v>40</v>
      </c>
      <c r="D26" s="13" t="s">
        <v>41</v>
      </c>
      <c r="E26" s="13" t="s">
        <v>42</v>
      </c>
      <c r="F26" s="13" t="s">
        <v>43</v>
      </c>
      <c r="G26" s="13" t="s">
        <v>44</v>
      </c>
    </row>
    <row r="27" spans="2:8" x14ac:dyDescent="0.25">
      <c r="B27" s="18" t="s">
        <v>519</v>
      </c>
      <c r="C27" s="21">
        <v>3</v>
      </c>
      <c r="D27" s="14" t="s">
        <v>104</v>
      </c>
      <c r="E27" s="79">
        <v>20000000</v>
      </c>
      <c r="F27" s="23"/>
      <c r="G27" s="79">
        <f>+C27*E27</f>
        <v>60000000</v>
      </c>
      <c r="H27" s="5"/>
    </row>
    <row r="28" spans="2:8" x14ac:dyDescent="0.25">
      <c r="B28" s="24" t="s">
        <v>209</v>
      </c>
      <c r="C28" s="25"/>
      <c r="D28" s="14"/>
      <c r="E28" s="13"/>
      <c r="F28" s="13"/>
      <c r="G28" s="26">
        <f>+G27</f>
        <v>60000000</v>
      </c>
      <c r="H28" s="5"/>
    </row>
    <row r="29" spans="2:8" ht="24" x14ac:dyDescent="0.25">
      <c r="B29" s="18" t="s">
        <v>520</v>
      </c>
      <c r="C29" s="21"/>
      <c r="D29" s="14"/>
      <c r="E29" s="79"/>
      <c r="F29" s="23"/>
      <c r="G29" s="146" t="str">
        <f>+Parámetros!C4</f>
        <v>Presupuesto relativo</v>
      </c>
      <c r="H29" s="5"/>
    </row>
    <row r="30" spans="2:8" x14ac:dyDescent="0.25">
      <c r="B30" s="24" t="s">
        <v>209</v>
      </c>
      <c r="C30" s="25"/>
      <c r="D30" s="14"/>
      <c r="E30" s="13"/>
      <c r="F30" s="13"/>
      <c r="G30" s="172"/>
    </row>
    <row r="34" spans="10:10" x14ac:dyDescent="0.25">
      <c r="J34" s="81"/>
    </row>
  </sheetData>
  <sheetProtection sheet="1" formatCells="0" formatColumns="0" formatRows="0" insertColumns="0" insertRows="0" insertHyperlinks="0" deleteColumns="0" deleteRows="0" sort="0" autoFilter="0" pivotTables="0"/>
  <pageMargins left="0.7" right="0.7" top="0.75" bottom="0.75" header="0.3" footer="0.3"/>
  <ignoredErrors>
    <ignoredError sqref="G28:G29" formula="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25"/>
  <dimension ref="B2:X40"/>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0" width="14" style="1" bestFit="1" customWidth="1"/>
    <col min="11" max="16" width="12.28515625" style="1" bestFit="1" customWidth="1"/>
    <col min="17" max="22" width="11.42578125" style="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detallado'!B147</f>
        <v>9.2. Mejora en la calidad de vida de los actores vinculados 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detallado'!B148</f>
        <v>9.2.1. Generación de espacios de articulación para la revisión y ajuste de las condiciones laborales aplicadas en la actividad arrocera</v>
      </c>
      <c r="C8" s="19" t="s">
        <v>154</v>
      </c>
      <c r="D8" s="20"/>
      <c r="E8" s="20"/>
      <c r="F8" s="20"/>
      <c r="G8" s="53">
        <f>+$H$18</f>
        <v>91926301</v>
      </c>
      <c r="H8" s="53">
        <f>+$H$18</f>
        <v>91926301</v>
      </c>
      <c r="I8" s="53">
        <f>+$H$18</f>
        <v>91926301</v>
      </c>
      <c r="J8" s="53">
        <f>+$H$18</f>
        <v>91926301</v>
      </c>
      <c r="K8" s="53"/>
      <c r="L8" s="20"/>
      <c r="M8" s="20"/>
      <c r="N8" s="20"/>
      <c r="O8" s="20"/>
      <c r="P8" s="20"/>
      <c r="Q8" s="20"/>
      <c r="R8" s="20"/>
      <c r="S8" s="20"/>
      <c r="T8" s="20"/>
      <c r="U8" s="20"/>
      <c r="V8" s="20"/>
      <c r="W8" s="53">
        <f>SUM(D8:V8)</f>
        <v>367705204</v>
      </c>
    </row>
    <row r="9" spans="2:24" ht="36" x14ac:dyDescent="0.25">
      <c r="B9" s="18" t="str">
        <f>+'Presupuesto detallado'!B149</f>
        <v>9.2.2. Promoción de modelos de gestión de recursos humanos orientados a garantizar el relevo generacional en la cadena de arroz</v>
      </c>
      <c r="C9" s="19" t="s">
        <v>154</v>
      </c>
      <c r="D9" s="20"/>
      <c r="E9" s="20"/>
      <c r="F9" s="20"/>
      <c r="G9" s="53">
        <f>+$H$26</f>
        <v>110891457</v>
      </c>
      <c r="H9" s="53">
        <f>+$H$26</f>
        <v>110891457</v>
      </c>
      <c r="I9" s="53">
        <f>+$H$26</f>
        <v>110891457</v>
      </c>
      <c r="J9" s="53">
        <f>+$H$26</f>
        <v>110891457</v>
      </c>
      <c r="K9" s="20"/>
      <c r="L9" s="20"/>
      <c r="M9" s="20"/>
      <c r="N9" s="20"/>
      <c r="O9" s="20"/>
      <c r="P9" s="20"/>
      <c r="Q9" s="20"/>
      <c r="R9" s="20"/>
      <c r="S9" s="20"/>
      <c r="T9" s="20"/>
      <c r="U9" s="20"/>
      <c r="V9" s="20"/>
      <c r="W9" s="53">
        <f>SUM(D9:V9)</f>
        <v>443565828</v>
      </c>
    </row>
    <row r="10" spans="2:24" ht="41.25" customHeight="1" x14ac:dyDescent="0.25">
      <c r="B10" s="18" t="str">
        <f>+'Presupuesto detallado'!B150</f>
        <v>9.2.3. Fomento de procesos enfocados a superar las condiciones de pobreza y seguridad de los actores relacionados con la cadena de arroz</v>
      </c>
      <c r="C10" s="19" t="s">
        <v>8</v>
      </c>
      <c r="D10" s="20"/>
      <c r="E10" s="20"/>
      <c r="F10" s="20"/>
      <c r="G10" s="53">
        <f>+$H$33</f>
        <v>118596882.5</v>
      </c>
      <c r="H10" s="53">
        <f t="shared" ref="H10:P10" si="0">+$H$33</f>
        <v>118596882.5</v>
      </c>
      <c r="I10" s="53">
        <f t="shared" si="0"/>
        <v>118596882.5</v>
      </c>
      <c r="J10" s="53">
        <f t="shared" si="0"/>
        <v>118596882.5</v>
      </c>
      <c r="K10" s="53">
        <f t="shared" si="0"/>
        <v>118596882.5</v>
      </c>
      <c r="L10" s="53">
        <f t="shared" si="0"/>
        <v>118596882.5</v>
      </c>
      <c r="M10" s="53">
        <f t="shared" si="0"/>
        <v>118596882.5</v>
      </c>
      <c r="N10" s="53">
        <f t="shared" si="0"/>
        <v>118596882.5</v>
      </c>
      <c r="O10" s="53">
        <f t="shared" si="0"/>
        <v>118596882.5</v>
      </c>
      <c r="P10" s="53">
        <f t="shared" si="0"/>
        <v>118596882.5</v>
      </c>
      <c r="Q10" s="20"/>
      <c r="R10" s="20"/>
      <c r="S10" s="20"/>
      <c r="T10" s="20"/>
      <c r="U10" s="20"/>
      <c r="V10" s="20"/>
      <c r="W10" s="53">
        <f>SUM(D10:V10)</f>
        <v>1185968825</v>
      </c>
    </row>
    <row r="11" spans="2:24" ht="48" x14ac:dyDescent="0.25">
      <c r="B11" s="18" t="str">
        <f>+'Presupuesto detallado'!B151</f>
        <v>9.2.4. Articulación y fomento de los programas de servicios integrales de atención a las familias arroceras (educación, vivienda, salud, bancarización y ahorro, nutrición, entre otros)</v>
      </c>
      <c r="C11" s="19" t="s">
        <v>154</v>
      </c>
      <c r="D11" s="20"/>
      <c r="E11" s="20"/>
      <c r="F11" s="20"/>
      <c r="G11" s="53">
        <f>+H39</f>
        <v>118596882.5</v>
      </c>
      <c r="H11" s="53">
        <f>+$H$39</f>
        <v>118596882.5</v>
      </c>
      <c r="I11" s="53">
        <f>+$H$39</f>
        <v>118596882.5</v>
      </c>
      <c r="J11" s="53">
        <f>+$H$39</f>
        <v>118596882.5</v>
      </c>
      <c r="K11" s="20"/>
      <c r="L11" s="20"/>
      <c r="M11" s="20"/>
      <c r="N11" s="20"/>
      <c r="O11" s="20"/>
      <c r="P11" s="20"/>
      <c r="Q11" s="20"/>
      <c r="R11" s="20"/>
      <c r="S11" s="20"/>
      <c r="T11" s="20"/>
      <c r="U11" s="20"/>
      <c r="V11" s="20"/>
      <c r="W11" s="53">
        <f>SUM(D11:V11)</f>
        <v>474387530</v>
      </c>
    </row>
    <row r="12" spans="2:24" ht="24" customHeight="1" x14ac:dyDescent="0.25">
      <c r="W12" s="150">
        <f>SUM(W8:W11)</f>
        <v>2471627387</v>
      </c>
    </row>
    <row r="13" spans="2:24" x14ac:dyDescent="0.25">
      <c r="B13" s="13" t="s">
        <v>521</v>
      </c>
      <c r="C13" s="13" t="s">
        <v>40</v>
      </c>
      <c r="D13" s="13" t="s">
        <v>41</v>
      </c>
      <c r="E13" s="13" t="s">
        <v>42</v>
      </c>
      <c r="F13" s="13" t="s">
        <v>554</v>
      </c>
      <c r="G13" s="13" t="s">
        <v>43</v>
      </c>
      <c r="H13" s="13" t="s">
        <v>44</v>
      </c>
      <c r="W13" s="150">
        <f>+'Presupuesto detallado'!V147</f>
        <v>2471627387</v>
      </c>
    </row>
    <row r="14" spans="2:24" x14ac:dyDescent="0.25">
      <c r="B14" s="14" t="s">
        <v>666</v>
      </c>
      <c r="C14" s="21">
        <v>1</v>
      </c>
      <c r="D14" s="14" t="s">
        <v>100</v>
      </c>
      <c r="E14" s="77">
        <f>+Parámetros!D13</f>
        <v>8000082</v>
      </c>
      <c r="F14" s="118">
        <v>0.5</v>
      </c>
      <c r="G14" s="23">
        <v>11</v>
      </c>
      <c r="H14" s="77">
        <f>+C14*E14*G14*F14</f>
        <v>44000451</v>
      </c>
      <c r="W14" s="201">
        <f>+W12-W13</f>
        <v>0</v>
      </c>
    </row>
    <row r="15" spans="2:24" x14ac:dyDescent="0.25">
      <c r="B15" s="14" t="s">
        <v>205</v>
      </c>
      <c r="C15" s="21">
        <v>2</v>
      </c>
      <c r="D15" s="14" t="s">
        <v>199</v>
      </c>
      <c r="E15" s="77">
        <v>20000000</v>
      </c>
      <c r="F15" s="118"/>
      <c r="G15" s="23"/>
      <c r="H15" s="77">
        <f>+C15*E15</f>
        <v>40000000</v>
      </c>
    </row>
    <row r="16" spans="2:24" x14ac:dyDescent="0.25">
      <c r="B16" s="14" t="s">
        <v>108</v>
      </c>
      <c r="C16" s="21">
        <v>2</v>
      </c>
      <c r="D16" s="14" t="s">
        <v>194</v>
      </c>
      <c r="E16" s="77">
        <f>+Parámetros!C32</f>
        <v>1000000</v>
      </c>
      <c r="F16" s="118"/>
      <c r="G16" s="23"/>
      <c r="H16" s="77">
        <f>+C16*E16</f>
        <v>2000000</v>
      </c>
    </row>
    <row r="17" spans="2:8" x14ac:dyDescent="0.25">
      <c r="B17" s="14" t="s">
        <v>45</v>
      </c>
      <c r="C17" s="21">
        <v>4</v>
      </c>
      <c r="D17" s="14" t="s">
        <v>115</v>
      </c>
      <c r="E17" s="77">
        <f>+Parámetros!F23</f>
        <v>1481462.5</v>
      </c>
      <c r="F17" s="118"/>
      <c r="G17" s="23"/>
      <c r="H17" s="77">
        <f>+C17*E17</f>
        <v>5925850</v>
      </c>
    </row>
    <row r="18" spans="2:8" x14ac:dyDescent="0.25">
      <c r="B18" s="24" t="s">
        <v>46</v>
      </c>
      <c r="C18" s="25"/>
      <c r="D18" s="14"/>
      <c r="E18" s="13"/>
      <c r="F18" s="261"/>
      <c r="G18" s="13"/>
      <c r="H18" s="26">
        <f>SUM(H14:H17)</f>
        <v>91926301</v>
      </c>
    </row>
    <row r="19" spans="2:8" ht="24.75" x14ac:dyDescent="0.25">
      <c r="B19" s="56" t="s">
        <v>687</v>
      </c>
      <c r="C19" s="21"/>
      <c r="D19" s="14"/>
      <c r="E19" s="77"/>
      <c r="F19" s="77"/>
      <c r="G19" s="23"/>
      <c r="H19" s="96" t="str">
        <f>+Parámetros!C4</f>
        <v>Presupuesto relativo</v>
      </c>
    </row>
    <row r="20" spans="2:8" x14ac:dyDescent="0.25">
      <c r="B20" s="5"/>
      <c r="C20" s="5"/>
      <c r="D20" s="5"/>
      <c r="E20" s="5"/>
      <c r="F20" s="5"/>
      <c r="G20" s="5"/>
      <c r="H20" s="5"/>
    </row>
    <row r="21" spans="2:8" x14ac:dyDescent="0.25">
      <c r="B21" s="13" t="s">
        <v>522</v>
      </c>
      <c r="C21" s="13" t="s">
        <v>40</v>
      </c>
      <c r="D21" s="13" t="s">
        <v>41</v>
      </c>
      <c r="E21" s="13" t="s">
        <v>42</v>
      </c>
      <c r="F21" s="13" t="s">
        <v>554</v>
      </c>
      <c r="G21" s="13" t="s">
        <v>43</v>
      </c>
      <c r="H21" s="13" t="s">
        <v>44</v>
      </c>
    </row>
    <row r="22" spans="2:8" x14ac:dyDescent="0.25">
      <c r="B22" s="14" t="s">
        <v>323</v>
      </c>
      <c r="C22" s="21">
        <v>1</v>
      </c>
      <c r="D22" s="14" t="s">
        <v>100</v>
      </c>
      <c r="E22" s="77">
        <f>+Parámetros!D14</f>
        <v>7017615</v>
      </c>
      <c r="F22" s="118">
        <v>0.5</v>
      </c>
      <c r="G22" s="23">
        <v>11</v>
      </c>
      <c r="H22" s="77">
        <f>+C22*E22*G22*F22</f>
        <v>38596882.5</v>
      </c>
    </row>
    <row r="23" spans="2:8" x14ac:dyDescent="0.25">
      <c r="B23" s="14" t="s">
        <v>108</v>
      </c>
      <c r="C23" s="21">
        <v>3</v>
      </c>
      <c r="D23" s="14" t="s">
        <v>194</v>
      </c>
      <c r="E23" s="77">
        <f>+Parámetros!C32</f>
        <v>1000000</v>
      </c>
      <c r="F23" s="118"/>
      <c r="G23" s="23"/>
      <c r="H23" s="77">
        <f>+C23*E23</f>
        <v>3000000</v>
      </c>
    </row>
    <row r="24" spans="2:8" x14ac:dyDescent="0.25">
      <c r="B24" s="14" t="s">
        <v>45</v>
      </c>
      <c r="C24" s="21">
        <v>3</v>
      </c>
      <c r="D24" s="14" t="s">
        <v>195</v>
      </c>
      <c r="E24" s="77">
        <f>+Parámetros!F24</f>
        <v>1098191.5</v>
      </c>
      <c r="F24" s="118"/>
      <c r="G24" s="23"/>
      <c r="H24" s="77">
        <f>+C24*E24</f>
        <v>3294574.5</v>
      </c>
    </row>
    <row r="25" spans="2:8" x14ac:dyDescent="0.25">
      <c r="B25" s="14" t="s">
        <v>204</v>
      </c>
      <c r="C25" s="21">
        <v>3</v>
      </c>
      <c r="D25" s="14" t="s">
        <v>104</v>
      </c>
      <c r="E25" s="77">
        <v>22000000</v>
      </c>
      <c r="F25" s="118"/>
      <c r="G25" s="23"/>
      <c r="H25" s="77">
        <f>+C25*E25</f>
        <v>66000000</v>
      </c>
    </row>
    <row r="26" spans="2:8" x14ac:dyDescent="0.25">
      <c r="B26" s="24" t="s">
        <v>46</v>
      </c>
      <c r="C26" s="78"/>
      <c r="D26" s="78"/>
      <c r="E26" s="78"/>
      <c r="F26" s="261"/>
      <c r="G26" s="78"/>
      <c r="H26" s="26">
        <f>SUM(H22:H25)</f>
        <v>110891457</v>
      </c>
    </row>
    <row r="27" spans="2:8" x14ac:dyDescent="0.25">
      <c r="B27" s="5" t="s">
        <v>686</v>
      </c>
    </row>
    <row r="29" spans="2:8" x14ac:dyDescent="0.25">
      <c r="B29" s="13" t="s">
        <v>523</v>
      </c>
      <c r="C29" s="13" t="s">
        <v>40</v>
      </c>
      <c r="D29" s="13" t="s">
        <v>41</v>
      </c>
      <c r="E29" s="13" t="s">
        <v>42</v>
      </c>
      <c r="F29" s="13" t="s">
        <v>554</v>
      </c>
      <c r="G29" s="13" t="s">
        <v>43</v>
      </c>
      <c r="H29" s="13" t="s">
        <v>44</v>
      </c>
    </row>
    <row r="30" spans="2:8" x14ac:dyDescent="0.25">
      <c r="B30" s="14" t="s">
        <v>323</v>
      </c>
      <c r="C30" s="21">
        <v>1</v>
      </c>
      <c r="D30" s="14" t="s">
        <v>100</v>
      </c>
      <c r="E30" s="77">
        <f>+Parámetros!D14</f>
        <v>7017615</v>
      </c>
      <c r="F30" s="118">
        <v>0.5</v>
      </c>
      <c r="G30" s="23">
        <v>11</v>
      </c>
      <c r="H30" s="77">
        <f>+C30*E30*G30*F30</f>
        <v>38596882.5</v>
      </c>
    </row>
    <row r="31" spans="2:8" ht="60" x14ac:dyDescent="0.25">
      <c r="B31" s="18" t="s">
        <v>207</v>
      </c>
      <c r="C31" s="55">
        <v>1</v>
      </c>
      <c r="D31" s="56" t="s">
        <v>104</v>
      </c>
      <c r="E31" s="79">
        <v>80000000</v>
      </c>
      <c r="F31" s="118"/>
      <c r="G31" s="80"/>
      <c r="H31" s="79">
        <f>+C31*E31</f>
        <v>80000000</v>
      </c>
    </row>
    <row r="32" spans="2:8" ht="24" x14ac:dyDescent="0.25">
      <c r="B32" s="18" t="s">
        <v>524</v>
      </c>
      <c r="C32" s="55"/>
      <c r="D32" s="56"/>
      <c r="E32" s="79"/>
      <c r="F32" s="118"/>
      <c r="G32" s="80"/>
      <c r="H32" s="146" t="str">
        <f>+Parámetros!C4</f>
        <v>Presupuesto relativo</v>
      </c>
    </row>
    <row r="33" spans="2:8" x14ac:dyDescent="0.25">
      <c r="B33" s="24" t="s">
        <v>46</v>
      </c>
      <c r="C33" s="78"/>
      <c r="D33" s="78"/>
      <c r="E33" s="78"/>
      <c r="F33" s="118"/>
      <c r="G33" s="78"/>
      <c r="H33" s="26">
        <f>SUM(H30:H31)</f>
        <v>118596882.5</v>
      </c>
    </row>
    <row r="34" spans="2:8" x14ac:dyDescent="0.25">
      <c r="B34" s="5" t="s">
        <v>206</v>
      </c>
    </row>
    <row r="36" spans="2:8" x14ac:dyDescent="0.25">
      <c r="B36" s="13" t="s">
        <v>181</v>
      </c>
      <c r="C36" s="13" t="s">
        <v>40</v>
      </c>
      <c r="D36" s="13" t="s">
        <v>41</v>
      </c>
      <c r="E36" s="13" t="s">
        <v>42</v>
      </c>
      <c r="F36" s="13" t="s">
        <v>554</v>
      </c>
      <c r="G36" s="13" t="s">
        <v>43</v>
      </c>
      <c r="H36" s="13" t="s">
        <v>44</v>
      </c>
    </row>
    <row r="37" spans="2:8" x14ac:dyDescent="0.25">
      <c r="B37" s="14" t="s">
        <v>191</v>
      </c>
      <c r="C37" s="21">
        <v>1</v>
      </c>
      <c r="D37" s="14" t="s">
        <v>100</v>
      </c>
      <c r="E37" s="77">
        <f>+Parámetros!D14</f>
        <v>7017615</v>
      </c>
      <c r="F37" s="118">
        <v>0.5</v>
      </c>
      <c r="G37" s="23">
        <v>11</v>
      </c>
      <c r="H37" s="77">
        <f>+C37*E37*G37*F37</f>
        <v>38596882.5</v>
      </c>
    </row>
    <row r="38" spans="2:8" ht="48" x14ac:dyDescent="0.25">
      <c r="B38" s="18" t="s">
        <v>208</v>
      </c>
      <c r="C38" s="55">
        <v>1</v>
      </c>
      <c r="D38" s="56" t="s">
        <v>104</v>
      </c>
      <c r="E38" s="79">
        <v>80000000</v>
      </c>
      <c r="F38" s="118"/>
      <c r="G38" s="80"/>
      <c r="H38" s="79">
        <f>+C38*E38</f>
        <v>80000000</v>
      </c>
    </row>
    <row r="39" spans="2:8" x14ac:dyDescent="0.25">
      <c r="B39" s="24" t="s">
        <v>46</v>
      </c>
      <c r="C39" s="78"/>
      <c r="D39" s="78"/>
      <c r="E39" s="78"/>
      <c r="F39" s="118"/>
      <c r="G39" s="78"/>
      <c r="H39" s="26">
        <f>SUM(H37:H38)</f>
        <v>118596882.5</v>
      </c>
    </row>
    <row r="40" spans="2:8" ht="24.75" x14ac:dyDescent="0.25">
      <c r="B40" s="56" t="s">
        <v>524</v>
      </c>
      <c r="C40" s="21"/>
      <c r="D40" s="14"/>
      <c r="E40" s="77"/>
      <c r="F40" s="118"/>
      <c r="G40" s="23"/>
      <c r="H40" s="96" t="s">
        <v>118</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26"/>
  <dimension ref="B2:X25"/>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8" width="13.42578125" style="1" bestFit="1" customWidth="1"/>
    <col min="9" max="9" width="14" style="1" bestFit="1" customWidth="1"/>
    <col min="10" max="11" width="12.28515625" style="1" bestFit="1" customWidth="1"/>
    <col min="12" max="13" width="11.42578125" style="1"/>
    <col min="14" max="14" width="14" style="1" bestFit="1" customWidth="1"/>
    <col min="15" max="16" width="11.42578125" style="1"/>
    <col min="17" max="17" width="14" style="1" bestFit="1" customWidth="1"/>
    <col min="18" max="22" width="11.42578125" style="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detallado'!B152</f>
        <v>9.3. Apropiación de la cultura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9.75" customHeight="1" x14ac:dyDescent="0.25">
      <c r="B8" s="18" t="str">
        <f>+'Presupuesto detallado'!B153</f>
        <v xml:space="preserve">9.3.1. Diseño e implementación de una estrategia para el desarrollo de mecanismos que promuevan el empoderamiento de la cultura arrocera colombiana </v>
      </c>
      <c r="C8" s="19" t="s">
        <v>180</v>
      </c>
      <c r="D8" s="20"/>
      <c r="E8" s="20"/>
      <c r="F8" s="20"/>
      <c r="G8" s="53"/>
      <c r="H8" s="53"/>
      <c r="I8" s="53">
        <f>+H17</f>
        <v>109963376</v>
      </c>
      <c r="J8" s="53">
        <f>+H17</f>
        <v>109963376</v>
      </c>
      <c r="K8" s="53" t="str">
        <f>+H16</f>
        <v>Presupuesto relativo</v>
      </c>
      <c r="L8" s="53"/>
      <c r="M8" s="20"/>
      <c r="N8" s="53" t="str">
        <f>+H16</f>
        <v>Presupuesto relativo</v>
      </c>
      <c r="O8" s="53"/>
      <c r="P8" s="53"/>
      <c r="Q8" s="53" t="str">
        <f>+H16</f>
        <v>Presupuesto relativo</v>
      </c>
      <c r="R8" s="20"/>
      <c r="S8" s="20"/>
      <c r="T8" s="20"/>
      <c r="U8" s="20"/>
      <c r="V8" s="20"/>
      <c r="W8" s="53">
        <f>SUM(D8:V8)</f>
        <v>219926752</v>
      </c>
    </row>
    <row r="9" spans="2:24" ht="28.5" customHeight="1" x14ac:dyDescent="0.25">
      <c r="B9" s="18" t="str">
        <f>+'Presupuesto detallado'!B154</f>
        <v>9.3.2. Gestión de la declaración de las regiones arroceras como parte de los paisajes agropecuarios</v>
      </c>
      <c r="C9" s="19" t="s">
        <v>172</v>
      </c>
      <c r="D9" s="20"/>
      <c r="E9" s="20"/>
      <c r="F9" s="20"/>
      <c r="G9" s="53"/>
      <c r="H9" s="53">
        <f>+$H$24</f>
        <v>57775180.5</v>
      </c>
      <c r="I9" s="53">
        <f>+$H$24</f>
        <v>57775180.5</v>
      </c>
      <c r="J9" s="53">
        <f>+$H$24</f>
        <v>57775180.5</v>
      </c>
      <c r="K9" s="53">
        <f>+$H$24</f>
        <v>57775180.5</v>
      </c>
      <c r="L9" s="53">
        <f>+$H$24</f>
        <v>57775180.5</v>
      </c>
      <c r="M9" s="20"/>
      <c r="N9" s="20"/>
      <c r="O9" s="20"/>
      <c r="P9" s="20"/>
      <c r="Q9" s="20"/>
      <c r="R9" s="20"/>
      <c r="S9" s="20"/>
      <c r="T9" s="20"/>
      <c r="U9" s="20"/>
      <c r="V9" s="20"/>
      <c r="W9" s="53">
        <f>SUM(D9:V9)</f>
        <v>288875902.5</v>
      </c>
    </row>
    <row r="10" spans="2:24" ht="24" customHeight="1" x14ac:dyDescent="0.25">
      <c r="W10" s="150">
        <f>SUM(W8:W9)</f>
        <v>508802654.5</v>
      </c>
    </row>
    <row r="11" spans="2:24" x14ac:dyDescent="0.25">
      <c r="B11" s="13" t="s">
        <v>532</v>
      </c>
      <c r="C11" s="13" t="s">
        <v>40</v>
      </c>
      <c r="D11" s="13" t="s">
        <v>41</v>
      </c>
      <c r="E11" s="13" t="s">
        <v>42</v>
      </c>
      <c r="F11" s="13" t="s">
        <v>554</v>
      </c>
      <c r="G11" s="13" t="s">
        <v>43</v>
      </c>
      <c r="H11" s="13" t="s">
        <v>44</v>
      </c>
      <c r="W11" s="150">
        <f>+'Presupuesto detallado'!V152</f>
        <v>508802654.5</v>
      </c>
    </row>
    <row r="12" spans="2:24" x14ac:dyDescent="0.25">
      <c r="B12" s="14" t="s">
        <v>191</v>
      </c>
      <c r="C12" s="21">
        <v>1</v>
      </c>
      <c r="D12" s="14" t="s">
        <v>100</v>
      </c>
      <c r="E12" s="73">
        <f>+Parámetros!D13</f>
        <v>8000082</v>
      </c>
      <c r="F12" s="118">
        <v>0.5</v>
      </c>
      <c r="G12" s="23">
        <v>11</v>
      </c>
      <c r="H12" s="73">
        <f>+C12*E12*G12*F12</f>
        <v>44000451</v>
      </c>
      <c r="W12" s="201">
        <f>+W10-W11</f>
        <v>0</v>
      </c>
    </row>
    <row r="13" spans="2:24" x14ac:dyDescent="0.25">
      <c r="B13" s="14" t="s">
        <v>201</v>
      </c>
      <c r="C13" s="21">
        <v>1</v>
      </c>
      <c r="D13" s="14" t="s">
        <v>199</v>
      </c>
      <c r="E13" s="73">
        <v>60000000</v>
      </c>
      <c r="F13" s="217"/>
      <c r="G13" s="23"/>
      <c r="H13" s="73">
        <f>+C13*E13</f>
        <v>60000000</v>
      </c>
      <c r="J13" s="183"/>
    </row>
    <row r="14" spans="2:24" x14ac:dyDescent="0.25">
      <c r="B14" s="14" t="s">
        <v>203</v>
      </c>
      <c r="C14" s="21">
        <v>1</v>
      </c>
      <c r="D14" s="14" t="s">
        <v>202</v>
      </c>
      <c r="E14" s="73">
        <f>+Parámetros!C33</f>
        <v>3000000</v>
      </c>
      <c r="F14" s="217"/>
      <c r="G14" s="23"/>
      <c r="H14" s="73">
        <f>+C14*E14</f>
        <v>3000000</v>
      </c>
      <c r="J14" s="178"/>
    </row>
    <row r="15" spans="2:24" x14ac:dyDescent="0.25">
      <c r="B15" s="14" t="s">
        <v>45</v>
      </c>
      <c r="C15" s="21">
        <v>2</v>
      </c>
      <c r="D15" s="14" t="s">
        <v>195</v>
      </c>
      <c r="E15" s="73">
        <f>+Parámetros!F23</f>
        <v>1481462.5</v>
      </c>
      <c r="F15" s="217"/>
      <c r="G15" s="23"/>
      <c r="H15" s="73">
        <f>+C15*E15</f>
        <v>2962925</v>
      </c>
    </row>
    <row r="16" spans="2:24" ht="24.75" x14ac:dyDescent="0.25">
      <c r="B16" s="56" t="s">
        <v>531</v>
      </c>
      <c r="C16" s="21"/>
      <c r="D16" s="14"/>
      <c r="E16" s="73"/>
      <c r="F16" s="217"/>
      <c r="G16" s="23"/>
      <c r="H16" s="75" t="str">
        <f>+Parámetros!C4</f>
        <v>Presupuesto relativo</v>
      </c>
    </row>
    <row r="17" spans="2:8" x14ac:dyDescent="0.25">
      <c r="B17" s="24" t="s">
        <v>46</v>
      </c>
      <c r="C17" s="25"/>
      <c r="D17" s="14"/>
      <c r="E17" s="13"/>
      <c r="F17" s="217"/>
      <c r="G17" s="13"/>
      <c r="H17" s="26">
        <f>SUM(H12:H15)</f>
        <v>109963376</v>
      </c>
    </row>
    <row r="18" spans="2:8" x14ac:dyDescent="0.25">
      <c r="H18" s="5"/>
    </row>
    <row r="19" spans="2:8" x14ac:dyDescent="0.25">
      <c r="B19" s="5"/>
      <c r="C19" s="5"/>
      <c r="D19" s="5"/>
      <c r="E19" s="5"/>
      <c r="F19" s="5"/>
      <c r="G19" s="5"/>
      <c r="H19" s="5"/>
    </row>
    <row r="20" spans="2:8" x14ac:dyDescent="0.25">
      <c r="B20" s="13" t="s">
        <v>533</v>
      </c>
      <c r="C20" s="13" t="s">
        <v>40</v>
      </c>
      <c r="D20" s="13" t="s">
        <v>41</v>
      </c>
      <c r="E20" s="13" t="s">
        <v>42</v>
      </c>
      <c r="F20" s="13" t="s">
        <v>554</v>
      </c>
      <c r="G20" s="13" t="s">
        <v>43</v>
      </c>
      <c r="H20" s="13" t="s">
        <v>44</v>
      </c>
    </row>
    <row r="21" spans="2:8" x14ac:dyDescent="0.25">
      <c r="B21" s="14" t="s">
        <v>641</v>
      </c>
      <c r="C21" s="21">
        <v>1</v>
      </c>
      <c r="D21" s="14" t="s">
        <v>100</v>
      </c>
      <c r="E21" s="73">
        <f>+Parámetros!D14</f>
        <v>7017615</v>
      </c>
      <c r="F21" s="118">
        <v>0.5</v>
      </c>
      <c r="G21" s="23">
        <v>11</v>
      </c>
      <c r="H21" s="73">
        <f>+C21*E21*G21*F21</f>
        <v>38596882.5</v>
      </c>
    </row>
    <row r="22" spans="2:8" x14ac:dyDescent="0.25">
      <c r="B22" s="14" t="s">
        <v>193</v>
      </c>
      <c r="C22" s="21">
        <v>6</v>
      </c>
      <c r="D22" s="14" t="s">
        <v>202</v>
      </c>
      <c r="E22" s="73">
        <f>+Parámetros!C32</f>
        <v>1000000</v>
      </c>
      <c r="F22" s="217"/>
      <c r="G22" s="23"/>
      <c r="H22" s="73">
        <f>+C22*E22</f>
        <v>6000000</v>
      </c>
    </row>
    <row r="23" spans="2:8" x14ac:dyDescent="0.25">
      <c r="B23" s="14" t="s">
        <v>45</v>
      </c>
      <c r="C23" s="21">
        <v>12</v>
      </c>
      <c r="D23" s="14" t="s">
        <v>195</v>
      </c>
      <c r="E23" s="73">
        <f>+Parámetros!F24</f>
        <v>1098191.5</v>
      </c>
      <c r="F23" s="217"/>
      <c r="G23" s="23"/>
      <c r="H23" s="73">
        <f>+C23*E23</f>
        <v>13178298</v>
      </c>
    </row>
    <row r="24" spans="2:8" x14ac:dyDescent="0.25">
      <c r="B24" s="24" t="s">
        <v>46</v>
      </c>
      <c r="C24" s="25"/>
      <c r="D24" s="14"/>
      <c r="E24" s="13"/>
      <c r="F24" s="217"/>
      <c r="G24" s="13"/>
      <c r="H24" s="26">
        <f>SUM(H21:H23)</f>
        <v>57775180.5</v>
      </c>
    </row>
    <row r="25" spans="2:8" x14ac:dyDescent="0.25">
      <c r="H25" s="5"/>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27"/>
  <dimension ref="B2:W39"/>
  <sheetViews>
    <sheetView topLeftCell="A4"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3" style="1" bestFit="1" customWidth="1"/>
    <col min="7" max="7" width="13.85546875" style="1" bestFit="1" customWidth="1"/>
    <col min="8" max="8" width="13.42578125" style="1" bestFit="1" customWidth="1"/>
    <col min="9" max="9" width="12.28515625" style="1" bestFit="1" customWidth="1"/>
    <col min="10" max="22" width="11.42578125" style="1"/>
    <col min="23" max="23" width="13.7109375" style="1" bestFit="1" customWidth="1"/>
    <col min="24" max="16384" width="11.42578125" style="1"/>
  </cols>
  <sheetData>
    <row r="2" spans="2:23" x14ac:dyDescent="0.25">
      <c r="B2" s="4" t="s">
        <v>1</v>
      </c>
      <c r="C2" s="4"/>
      <c r="D2" s="4"/>
      <c r="E2" s="4"/>
      <c r="F2" s="4"/>
      <c r="G2" s="4"/>
      <c r="H2" s="4"/>
      <c r="I2" s="4"/>
      <c r="J2" s="4"/>
      <c r="K2" s="4"/>
      <c r="L2" s="4"/>
      <c r="M2" s="4"/>
      <c r="N2" s="4"/>
      <c r="O2" s="4"/>
      <c r="P2" s="4"/>
      <c r="Q2" s="4"/>
      <c r="R2" s="4"/>
      <c r="S2" s="4"/>
      <c r="T2" s="4"/>
      <c r="U2" s="4"/>
      <c r="V2" s="4"/>
    </row>
    <row r="4" spans="2:23" x14ac:dyDescent="0.25">
      <c r="B4" s="15" t="str">
        <f>+'Presupuesto detallado'!B142</f>
        <v>PROGRAMA 9. Socioambiental</v>
      </c>
    </row>
    <row r="5" spans="2:23" x14ac:dyDescent="0.25">
      <c r="B5" s="15" t="str">
        <f>+'Presupuesto detallado'!B155</f>
        <v>9.4 Fortalecimiento de la sostenibilidad ambiental de la cadena de arroz</v>
      </c>
    </row>
    <row r="7" spans="2:23"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3" ht="39.75" customHeight="1" x14ac:dyDescent="0.25">
      <c r="B8" s="18" t="str">
        <f>+'Presupuesto detallado'!B156</f>
        <v>9.4.1. Incorporación de los escenarios de variabilidad climática y cambio climático para el desarrollo de los clústeres agroindustriales de arroz</v>
      </c>
      <c r="C8" s="19" t="s">
        <v>151</v>
      </c>
      <c r="D8" s="20"/>
      <c r="E8" s="20"/>
      <c r="F8" s="53">
        <f>+$H$17</f>
        <v>89782914</v>
      </c>
      <c r="G8" s="53">
        <f>+$H$17</f>
        <v>89782914</v>
      </c>
      <c r="H8" s="53">
        <f>+$H$17</f>
        <v>89782914</v>
      </c>
      <c r="I8" s="53"/>
      <c r="J8" s="53"/>
      <c r="K8" s="20"/>
      <c r="L8" s="20"/>
      <c r="M8" s="53"/>
      <c r="N8" s="53"/>
      <c r="O8" s="53"/>
      <c r="P8" s="53"/>
      <c r="Q8" s="53"/>
      <c r="R8" s="53"/>
      <c r="S8" s="53"/>
      <c r="T8" s="53"/>
      <c r="U8" s="53"/>
      <c r="V8" s="53"/>
      <c r="W8" s="53">
        <f>SUM(D8:V8)</f>
        <v>269348742</v>
      </c>
    </row>
    <row r="9" spans="2:23" ht="52.5" customHeight="1" x14ac:dyDescent="0.25">
      <c r="B9" s="18" t="str">
        <f>+'Presupuesto detallado'!B157</f>
        <v>9.4.2. Mejora de la gestión institucional para adaptar y mitigar los riesgos derivados de la variabilidad climática y el cambio climático en los sistemas de producción de la cadena de arroz</v>
      </c>
      <c r="C9" s="19" t="s">
        <v>150</v>
      </c>
      <c r="D9" s="20"/>
      <c r="E9" s="20"/>
      <c r="F9" s="20"/>
      <c r="G9" s="53">
        <f>+$H$24</f>
        <v>61619442</v>
      </c>
      <c r="H9" s="53">
        <f t="shared" ref="H9:V9" si="0">+$H$24</f>
        <v>61619442</v>
      </c>
      <c r="I9" s="53">
        <f t="shared" si="0"/>
        <v>61619442</v>
      </c>
      <c r="J9" s="53">
        <f t="shared" si="0"/>
        <v>61619442</v>
      </c>
      <c r="K9" s="53">
        <f t="shared" si="0"/>
        <v>61619442</v>
      </c>
      <c r="L9" s="53">
        <f t="shared" si="0"/>
        <v>61619442</v>
      </c>
      <c r="M9" s="53">
        <f t="shared" si="0"/>
        <v>61619442</v>
      </c>
      <c r="N9" s="53">
        <f t="shared" si="0"/>
        <v>61619442</v>
      </c>
      <c r="O9" s="53">
        <f t="shared" si="0"/>
        <v>61619442</v>
      </c>
      <c r="P9" s="53">
        <f t="shared" si="0"/>
        <v>61619442</v>
      </c>
      <c r="Q9" s="53">
        <f t="shared" si="0"/>
        <v>61619442</v>
      </c>
      <c r="R9" s="53">
        <f t="shared" si="0"/>
        <v>61619442</v>
      </c>
      <c r="S9" s="53">
        <f t="shared" si="0"/>
        <v>61619442</v>
      </c>
      <c r="T9" s="53">
        <f t="shared" si="0"/>
        <v>61619442</v>
      </c>
      <c r="U9" s="53">
        <f t="shared" si="0"/>
        <v>61619442</v>
      </c>
      <c r="V9" s="53">
        <f t="shared" si="0"/>
        <v>61619442</v>
      </c>
      <c r="W9" s="53">
        <f>SUM(D9:V9)</f>
        <v>985911072</v>
      </c>
    </row>
    <row r="10" spans="2:23" ht="39.75" customHeight="1" x14ac:dyDescent="0.25">
      <c r="B10" s="18" t="str">
        <f>+'Presupuesto detallado'!B158</f>
        <v>9.4.3. Manejo de técnicas agrícolas que eviten, controlen o reduzcan la emisión de Gases de Efecto Invernadero de la cadena de arroz</v>
      </c>
      <c r="C10" s="19" t="s">
        <v>150</v>
      </c>
      <c r="D10" s="20"/>
      <c r="E10" s="20"/>
      <c r="F10" s="20"/>
      <c r="G10" s="53">
        <f>+H33</f>
        <v>181568599</v>
      </c>
      <c r="H10" s="53">
        <f>+H33</f>
        <v>181568599</v>
      </c>
      <c r="I10" s="53">
        <f>+H33</f>
        <v>181568599</v>
      </c>
      <c r="J10" s="53" t="str">
        <f t="shared" ref="J10:V10" si="1">+$H$32</f>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544705797</v>
      </c>
    </row>
    <row r="11" spans="2:23" ht="36" x14ac:dyDescent="0.25">
      <c r="B11" s="18" t="str">
        <f>+'Presupuesto detallado'!B159</f>
        <v>9.4.4.. Fortalecimiento de la participación de las autoridades ambientales, en el desarrollo sostenible de la cadena arrocera</v>
      </c>
      <c r="C11" s="19" t="s">
        <v>150</v>
      </c>
      <c r="D11" s="20"/>
      <c r="E11" s="20"/>
      <c r="F11" s="20"/>
      <c r="G11" s="53">
        <f>+$H$39</f>
        <v>44000451</v>
      </c>
      <c r="H11" s="53">
        <f>+$H$39</f>
        <v>44000451</v>
      </c>
      <c r="I11" s="53">
        <f>+$H$39</f>
        <v>44000451</v>
      </c>
      <c r="J11" s="53">
        <f>+$H$39</f>
        <v>44000451</v>
      </c>
      <c r="K11" s="53">
        <f>+$H$39</f>
        <v>44000451</v>
      </c>
      <c r="L11" s="53" t="str">
        <f t="shared" ref="L11:V11" si="2">+$H$38</f>
        <v>Presupuesto relativo</v>
      </c>
      <c r="M11" s="53" t="str">
        <f t="shared" si="2"/>
        <v>Presupuesto relativo</v>
      </c>
      <c r="N11" s="53" t="str">
        <f t="shared" si="2"/>
        <v>Presupuesto relativo</v>
      </c>
      <c r="O11" s="53" t="str">
        <f t="shared" si="2"/>
        <v>Presupuesto relativo</v>
      </c>
      <c r="P11" s="53" t="str">
        <f t="shared" si="2"/>
        <v>Presupuesto relativo</v>
      </c>
      <c r="Q11" s="53" t="str">
        <f t="shared" si="2"/>
        <v>Presupuesto relativo</v>
      </c>
      <c r="R11" s="53" t="str">
        <f t="shared" si="2"/>
        <v>Presupuesto relativo</v>
      </c>
      <c r="S11" s="53" t="str">
        <f t="shared" si="2"/>
        <v>Presupuesto relativo</v>
      </c>
      <c r="T11" s="53" t="str">
        <f t="shared" si="2"/>
        <v>Presupuesto relativo</v>
      </c>
      <c r="U11" s="53" t="str">
        <f t="shared" si="2"/>
        <v>Presupuesto relativo</v>
      </c>
      <c r="V11" s="53" t="str">
        <f t="shared" si="2"/>
        <v>Presupuesto relativo</v>
      </c>
      <c r="W11" s="53">
        <f>SUM(D11:V11)</f>
        <v>220002255</v>
      </c>
    </row>
    <row r="12" spans="2:23" ht="24" customHeight="1" x14ac:dyDescent="0.25">
      <c r="W12" s="150">
        <f>SUM(W8:W11)</f>
        <v>2019967866</v>
      </c>
    </row>
    <row r="13" spans="2:23" x14ac:dyDescent="0.25">
      <c r="B13" s="13" t="s">
        <v>534</v>
      </c>
      <c r="C13" s="13" t="s">
        <v>40</v>
      </c>
      <c r="D13" s="13" t="s">
        <v>41</v>
      </c>
      <c r="E13" s="13" t="s">
        <v>42</v>
      </c>
      <c r="F13" s="13" t="s">
        <v>554</v>
      </c>
      <c r="G13" s="13" t="s">
        <v>43</v>
      </c>
      <c r="H13" s="13" t="s">
        <v>44</v>
      </c>
      <c r="W13" s="150">
        <f>+'Presupuesto detallado'!V155</f>
        <v>2019967866</v>
      </c>
    </row>
    <row r="14" spans="2:23" x14ac:dyDescent="0.25">
      <c r="B14" s="14" t="s">
        <v>191</v>
      </c>
      <c r="C14" s="21">
        <v>1</v>
      </c>
      <c r="D14" s="14" t="s">
        <v>100</v>
      </c>
      <c r="E14" s="73">
        <f>+Parámetros!D14</f>
        <v>7017615</v>
      </c>
      <c r="F14" s="118">
        <v>0.5</v>
      </c>
      <c r="G14" s="23">
        <v>11</v>
      </c>
      <c r="H14" s="73">
        <f>+C14*E14*G14</f>
        <v>77193765</v>
      </c>
      <c r="W14" s="201">
        <f>+W12-W13</f>
        <v>0</v>
      </c>
    </row>
    <row r="15" spans="2:23" x14ac:dyDescent="0.25">
      <c r="B15" s="14" t="s">
        <v>45</v>
      </c>
      <c r="C15" s="21">
        <v>6</v>
      </c>
      <c r="D15" s="14" t="s">
        <v>195</v>
      </c>
      <c r="E15" s="73">
        <f>+Parámetros!F24</f>
        <v>1098191.5</v>
      </c>
      <c r="F15" s="118"/>
      <c r="G15" s="23"/>
      <c r="H15" s="73">
        <f>+C15*E15</f>
        <v>6589149</v>
      </c>
    </row>
    <row r="16" spans="2:23" x14ac:dyDescent="0.25">
      <c r="B16" s="14" t="s">
        <v>193</v>
      </c>
      <c r="C16" s="21">
        <v>6</v>
      </c>
      <c r="D16" s="14" t="s">
        <v>194</v>
      </c>
      <c r="E16" s="73">
        <f>+Parámetros!C32</f>
        <v>1000000</v>
      </c>
      <c r="F16" s="118"/>
      <c r="G16" s="23"/>
      <c r="H16" s="73">
        <f>+C16*E16</f>
        <v>6000000</v>
      </c>
    </row>
    <row r="17" spans="2:8" x14ac:dyDescent="0.25">
      <c r="B17" s="24" t="s">
        <v>46</v>
      </c>
      <c r="C17" s="25"/>
      <c r="D17" s="14"/>
      <c r="E17" s="13"/>
      <c r="F17" s="261"/>
      <c r="G17" s="13"/>
      <c r="H17" s="26">
        <f>SUM(H14:H16)</f>
        <v>89782914</v>
      </c>
    </row>
    <row r="18" spans="2:8" x14ac:dyDescent="0.25">
      <c r="B18" s="5"/>
      <c r="C18" s="5"/>
      <c r="D18" s="5"/>
      <c r="E18" s="5"/>
      <c r="F18" s="5"/>
      <c r="G18" s="5"/>
      <c r="H18" s="5"/>
    </row>
    <row r="19" spans="2:8" x14ac:dyDescent="0.25">
      <c r="B19" s="5"/>
      <c r="C19" s="5"/>
      <c r="D19" s="5"/>
      <c r="E19" s="5"/>
      <c r="F19" s="5"/>
      <c r="G19" s="5"/>
      <c r="H19" s="5"/>
    </row>
    <row r="20" spans="2:8" x14ac:dyDescent="0.25">
      <c r="B20" s="13" t="s">
        <v>535</v>
      </c>
      <c r="C20" s="13" t="s">
        <v>40</v>
      </c>
      <c r="D20" s="13" t="s">
        <v>41</v>
      </c>
      <c r="E20" s="13" t="s">
        <v>42</v>
      </c>
      <c r="F20" s="13" t="s">
        <v>554</v>
      </c>
      <c r="G20" s="13" t="s">
        <v>43</v>
      </c>
      <c r="H20" s="13" t="s">
        <v>44</v>
      </c>
    </row>
    <row r="21" spans="2:8" x14ac:dyDescent="0.25">
      <c r="B21" s="14" t="s">
        <v>666</v>
      </c>
      <c r="C21" s="21">
        <v>1</v>
      </c>
      <c r="D21" s="14" t="s">
        <v>100</v>
      </c>
      <c r="E21" s="73">
        <f>+Parámetros!D13</f>
        <v>8000082</v>
      </c>
      <c r="F21" s="118">
        <v>0.5</v>
      </c>
      <c r="G21" s="23">
        <v>12</v>
      </c>
      <c r="H21" s="73">
        <f>+C21*E21*G21*F21</f>
        <v>48000492</v>
      </c>
    </row>
    <row r="22" spans="2:8" x14ac:dyDescent="0.25">
      <c r="B22" s="14" t="s">
        <v>193</v>
      </c>
      <c r="C22" s="21">
        <v>6</v>
      </c>
      <c r="D22" s="14" t="s">
        <v>194</v>
      </c>
      <c r="E22" s="262">
        <f>+Parámetros!C32</f>
        <v>1000000</v>
      </c>
      <c r="F22" s="118"/>
      <c r="G22" s="108"/>
      <c r="H22" s="73">
        <f>+C22*E22</f>
        <v>6000000</v>
      </c>
    </row>
    <row r="23" spans="2:8" x14ac:dyDescent="0.25">
      <c r="B23" s="14" t="s">
        <v>45</v>
      </c>
      <c r="C23" s="21">
        <v>18</v>
      </c>
      <c r="D23" s="14" t="s">
        <v>688</v>
      </c>
      <c r="E23" s="262">
        <f>+Parámetros!D23</f>
        <v>423275</v>
      </c>
      <c r="F23" s="118"/>
      <c r="G23" s="108"/>
      <c r="H23" s="73">
        <f>+C23*E23</f>
        <v>7618950</v>
      </c>
    </row>
    <row r="24" spans="2:8" x14ac:dyDescent="0.25">
      <c r="B24" s="203" t="s">
        <v>107</v>
      </c>
      <c r="C24" s="204"/>
      <c r="D24" s="204"/>
      <c r="E24" s="204"/>
      <c r="F24" s="20"/>
      <c r="G24" s="205"/>
      <c r="H24" s="76">
        <f>SUM(H21:H23)</f>
        <v>61619442</v>
      </c>
    </row>
    <row r="27" spans="2:8" x14ac:dyDescent="0.25">
      <c r="B27" s="13" t="s">
        <v>536</v>
      </c>
      <c r="C27" s="13" t="s">
        <v>40</v>
      </c>
      <c r="D27" s="13" t="s">
        <v>41</v>
      </c>
      <c r="E27" s="13" t="s">
        <v>42</v>
      </c>
      <c r="F27" s="13" t="s">
        <v>554</v>
      </c>
      <c r="G27" s="13" t="s">
        <v>43</v>
      </c>
      <c r="H27" s="13" t="s">
        <v>44</v>
      </c>
    </row>
    <row r="28" spans="2:8" x14ac:dyDescent="0.25">
      <c r="B28" s="14" t="s">
        <v>101</v>
      </c>
      <c r="C28" s="21">
        <v>1</v>
      </c>
      <c r="D28" s="14" t="s">
        <v>100</v>
      </c>
      <c r="E28" s="73">
        <f>+Parámetros!D13</f>
        <v>8000082</v>
      </c>
      <c r="F28" s="118">
        <v>0.5</v>
      </c>
      <c r="G28" s="23">
        <v>11</v>
      </c>
      <c r="H28" s="73">
        <f>+C28*E28*G28*F28</f>
        <v>44000451</v>
      </c>
    </row>
    <row r="29" spans="2:8" x14ac:dyDescent="0.25">
      <c r="B29" s="14" t="s">
        <v>557</v>
      </c>
      <c r="C29" s="21">
        <v>2</v>
      </c>
      <c r="D29" s="14" t="s">
        <v>100</v>
      </c>
      <c r="E29" s="73">
        <f>+Parámetros!D16</f>
        <v>5894797</v>
      </c>
      <c r="F29" s="118"/>
      <c r="G29" s="23">
        <v>11</v>
      </c>
      <c r="H29" s="73">
        <f>+C29*E29*G29</f>
        <v>129685534</v>
      </c>
    </row>
    <row r="30" spans="2:8" x14ac:dyDescent="0.25">
      <c r="B30" s="14" t="s">
        <v>193</v>
      </c>
      <c r="C30" s="21">
        <v>6</v>
      </c>
      <c r="D30" s="14" t="s">
        <v>194</v>
      </c>
      <c r="E30" s="73">
        <f>+Parámetros!C32</f>
        <v>1000000</v>
      </c>
      <c r="F30" s="118"/>
      <c r="G30" s="23"/>
      <c r="H30" s="73">
        <f>+C30*E30</f>
        <v>6000000</v>
      </c>
    </row>
    <row r="31" spans="2:8" x14ac:dyDescent="0.25">
      <c r="B31" s="14" t="s">
        <v>45</v>
      </c>
      <c r="C31" s="21">
        <v>6</v>
      </c>
      <c r="D31" s="14" t="s">
        <v>195</v>
      </c>
      <c r="E31" s="73">
        <f>+Parámetros!D26</f>
        <v>313769</v>
      </c>
      <c r="F31" s="118"/>
      <c r="G31" s="23"/>
      <c r="H31" s="73">
        <f>+C31*E31</f>
        <v>1882614</v>
      </c>
    </row>
    <row r="32" spans="2:8" ht="24.75" x14ac:dyDescent="0.25">
      <c r="B32" s="56" t="s">
        <v>197</v>
      </c>
      <c r="C32" s="21"/>
      <c r="D32" s="14"/>
      <c r="E32" s="73"/>
      <c r="F32" s="118"/>
      <c r="G32" s="23"/>
      <c r="H32" s="75" t="str">
        <f>+Parámetros!C4</f>
        <v>Presupuesto relativo</v>
      </c>
    </row>
    <row r="33" spans="2:8" x14ac:dyDescent="0.25">
      <c r="B33" s="24" t="s">
        <v>46</v>
      </c>
      <c r="C33" s="25"/>
      <c r="D33" s="14"/>
      <c r="E33" s="13"/>
      <c r="F33" s="118"/>
      <c r="G33" s="13"/>
      <c r="H33" s="26">
        <f>SUM(H28:H31)</f>
        <v>181568599</v>
      </c>
    </row>
    <row r="34" spans="2:8" x14ac:dyDescent="0.25">
      <c r="B34" s="74" t="s">
        <v>196</v>
      </c>
    </row>
    <row r="36" spans="2:8" x14ac:dyDescent="0.25">
      <c r="B36" s="13" t="s">
        <v>537</v>
      </c>
      <c r="C36" s="13" t="s">
        <v>40</v>
      </c>
      <c r="D36" s="13" t="s">
        <v>41</v>
      </c>
      <c r="E36" s="13" t="s">
        <v>42</v>
      </c>
      <c r="F36" s="13" t="s">
        <v>554</v>
      </c>
      <c r="G36" s="13" t="s">
        <v>43</v>
      </c>
      <c r="H36" s="13" t="s">
        <v>44</v>
      </c>
    </row>
    <row r="37" spans="2:8" x14ac:dyDescent="0.25">
      <c r="B37" s="14" t="s">
        <v>641</v>
      </c>
      <c r="C37" s="21">
        <v>1</v>
      </c>
      <c r="D37" s="14" t="s">
        <v>100</v>
      </c>
      <c r="E37" s="73">
        <f>+Parámetros!D13</f>
        <v>8000082</v>
      </c>
      <c r="F37" s="118">
        <v>0.5</v>
      </c>
      <c r="G37" s="23">
        <v>11</v>
      </c>
      <c r="H37" s="73">
        <f>+C37*E37*G37*F37</f>
        <v>44000451</v>
      </c>
    </row>
    <row r="38" spans="2:8" ht="24.75" x14ac:dyDescent="0.25">
      <c r="B38" s="56" t="s">
        <v>200</v>
      </c>
      <c r="C38" s="21"/>
      <c r="D38" s="14"/>
      <c r="E38" s="73"/>
      <c r="F38" s="118"/>
      <c r="G38" s="23"/>
      <c r="H38" s="75" t="str">
        <f>+Parámetros!C4</f>
        <v>Presupuesto relativo</v>
      </c>
    </row>
    <row r="39" spans="2:8" x14ac:dyDescent="0.25">
      <c r="B39" s="24" t="s">
        <v>46</v>
      </c>
      <c r="C39" s="25"/>
      <c r="D39" s="14"/>
      <c r="E39" s="13"/>
      <c r="F39" s="118"/>
      <c r="G39" s="13"/>
      <c r="H39" s="26">
        <f>SUM(H37:H38)</f>
        <v>44000451</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65"/>
  <sheetViews>
    <sheetView workbookViewId="0">
      <pane ySplit="4" topLeftCell="A5" activePane="bottomLeft" state="frozen"/>
      <selection activeCell="F17" sqref="F17"/>
      <selection pane="bottomLeft" activeCell="F17" sqref="F17"/>
    </sheetView>
  </sheetViews>
  <sheetFormatPr baseColWidth="10" defaultRowHeight="12" x14ac:dyDescent="0.2"/>
  <cols>
    <col min="1" max="1" width="11.42578125" style="5"/>
    <col min="2" max="2" width="80.7109375" style="5" customWidth="1"/>
    <col min="3" max="3" width="18" style="174" customWidth="1"/>
    <col min="4" max="5" width="17" style="174" customWidth="1"/>
    <col min="6" max="6" width="17" style="5" bestFit="1" customWidth="1"/>
    <col min="7" max="7" width="8.42578125" style="283" customWidth="1"/>
    <col min="8" max="16384" width="11.42578125" style="5"/>
  </cols>
  <sheetData>
    <row r="2" spans="2:7" x14ac:dyDescent="0.2">
      <c r="B2" s="2" t="s">
        <v>34</v>
      </c>
    </row>
    <row r="4" spans="2:7" x14ac:dyDescent="0.2">
      <c r="B4" s="10" t="s">
        <v>36</v>
      </c>
      <c r="C4" s="10" t="s">
        <v>37</v>
      </c>
      <c r="D4" s="10" t="s">
        <v>8</v>
      </c>
      <c r="E4" s="10" t="s">
        <v>9</v>
      </c>
      <c r="F4" s="10" t="s">
        <v>35</v>
      </c>
      <c r="G4" s="10" t="s">
        <v>0</v>
      </c>
    </row>
    <row r="5" spans="2:7" x14ac:dyDescent="0.2">
      <c r="B5" s="8" t="s">
        <v>2</v>
      </c>
      <c r="C5" s="179">
        <f>SUM('Presupuesto detallado'!C5:E5)</f>
        <v>109413542942.25</v>
      </c>
      <c r="D5" s="179">
        <f>SUM('Presupuesto detallado'!F5:O5)</f>
        <v>559932116812.25012</v>
      </c>
      <c r="E5" s="179">
        <f>SUM('Presupuesto detallado'!P5:U5)</f>
        <v>314594375650.20001</v>
      </c>
      <c r="F5" s="179">
        <f>SUM(C5:E5)</f>
        <v>983940035404.7002</v>
      </c>
      <c r="G5" s="284">
        <f>+F5/$F$160</f>
        <v>0.35538856102016442</v>
      </c>
    </row>
    <row r="6" spans="2:7" s="88" customFormat="1" x14ac:dyDescent="0.2">
      <c r="B6" s="9" t="s">
        <v>4</v>
      </c>
      <c r="C6" s="65">
        <f>SUM('Presupuesto detallado'!C6:E6)</f>
        <v>5395429336.7999992</v>
      </c>
      <c r="D6" s="65">
        <f>SUM('Presupuesto detallado'!F6:O6)</f>
        <v>30109482269.900005</v>
      </c>
      <c r="E6" s="65">
        <f>SUM('Presupuesto detallado'!P6:U6)</f>
        <v>1598517393</v>
      </c>
      <c r="F6" s="65">
        <f t="shared" ref="F6:F69" si="0">SUM(C6:E6)</f>
        <v>37103428999.700005</v>
      </c>
      <c r="G6" s="285">
        <f t="shared" ref="G6:G69" si="1">+F6/$F$160</f>
        <v>1.3401359601851846E-2</v>
      </c>
    </row>
    <row r="7" spans="2:7" ht="28.5" customHeight="1" x14ac:dyDescent="0.2">
      <c r="B7" s="12" t="s">
        <v>324</v>
      </c>
      <c r="C7" s="62">
        <f>SUM('Presupuesto detallado'!C7:E7)</f>
        <v>266419565.5</v>
      </c>
      <c r="D7" s="62">
        <f>SUM('Presupuesto detallado'!F7:O7)</f>
        <v>2664195655</v>
      </c>
      <c r="E7" s="62">
        <f>SUM('Presupuesto detallado'!P7:U7)</f>
        <v>1598517393</v>
      </c>
      <c r="F7" s="62">
        <f t="shared" si="0"/>
        <v>4529132613.5</v>
      </c>
      <c r="G7" s="286">
        <f t="shared" si="1"/>
        <v>1.6358740007151179E-3</v>
      </c>
    </row>
    <row r="8" spans="2:7" ht="27" customHeight="1" x14ac:dyDescent="0.2">
      <c r="B8" s="12" t="s">
        <v>325</v>
      </c>
      <c r="C8" s="62">
        <f>SUM('Presupuesto detallado'!C8:E8)</f>
        <v>5101837561.3999996</v>
      </c>
      <c r="D8" s="62">
        <f>SUM('Presupuesto detallado'!F8:O8)</f>
        <v>25509187807.000004</v>
      </c>
      <c r="E8" s="62">
        <f>SUM('Presupuesto detallado'!P8:U8)</f>
        <v>0</v>
      </c>
      <c r="F8" s="62">
        <f t="shared" si="0"/>
        <v>30611025368.400002</v>
      </c>
      <c r="G8" s="286">
        <f t="shared" si="1"/>
        <v>1.1056373219484772E-2</v>
      </c>
    </row>
    <row r="9" spans="2:7" ht="33.75" customHeight="1" x14ac:dyDescent="0.2">
      <c r="B9" s="12" t="s">
        <v>326</v>
      </c>
      <c r="C9" s="62">
        <f>SUM('Presupuesto detallado'!C9:E9)</f>
        <v>0</v>
      </c>
      <c r="D9" s="62">
        <f>SUM('Presupuesto detallado'!F9:O9)</f>
        <v>672512098.5</v>
      </c>
      <c r="E9" s="62">
        <f>SUM('Presupuesto detallado'!P9:U9)</f>
        <v>0</v>
      </c>
      <c r="F9" s="62">
        <f t="shared" si="0"/>
        <v>672512098.5</v>
      </c>
      <c r="G9" s="286">
        <f t="shared" si="1"/>
        <v>2.4290413882413345E-4</v>
      </c>
    </row>
    <row r="10" spans="2:7" ht="30" customHeight="1" x14ac:dyDescent="0.2">
      <c r="B10" s="12" t="s">
        <v>327</v>
      </c>
      <c r="C10" s="62">
        <f>SUM('Presupuesto detallado'!C10:E10)</f>
        <v>0</v>
      </c>
      <c r="D10" s="62">
        <f>SUM('Presupuesto detallado'!F10:O10)</f>
        <v>1236414499.5</v>
      </c>
      <c r="E10" s="62">
        <f>SUM('Presupuesto detallado'!P10:U10)</f>
        <v>0</v>
      </c>
      <c r="F10" s="62">
        <f t="shared" si="0"/>
        <v>1236414499.5</v>
      </c>
      <c r="G10" s="286">
        <f t="shared" si="1"/>
        <v>4.4657962273182732E-4</v>
      </c>
    </row>
    <row r="11" spans="2:7" ht="37.5" customHeight="1" x14ac:dyDescent="0.2">
      <c r="B11" s="12" t="s">
        <v>328</v>
      </c>
      <c r="C11" s="62">
        <f>SUM('Presupuesto detallado'!C11:E11)</f>
        <v>27172209.899999999</v>
      </c>
      <c r="D11" s="62">
        <f>SUM('Presupuesto detallado'!F11:O11)</f>
        <v>27172209.899999999</v>
      </c>
      <c r="E11" s="62">
        <f>SUM('Presupuesto detallado'!P11:U11)</f>
        <v>0</v>
      </c>
      <c r="F11" s="62">
        <f t="shared" si="0"/>
        <v>54344419.799999997</v>
      </c>
      <c r="G11" s="286">
        <f t="shared" si="1"/>
        <v>1.9628620095993985E-5</v>
      </c>
    </row>
    <row r="12" spans="2:7" s="88" customFormat="1" ht="14.25" customHeight="1" x14ac:dyDescent="0.2">
      <c r="B12" s="9" t="s">
        <v>5</v>
      </c>
      <c r="C12" s="65">
        <f>SUM('Presupuesto detallado'!C12:E12)</f>
        <v>723880863.64999998</v>
      </c>
      <c r="D12" s="65">
        <f>SUM('Presupuesto detallado'!F12:O12)</f>
        <v>3026247479.3499999</v>
      </c>
      <c r="E12" s="65">
        <f>SUM('Presupuesto detallado'!P12:U12)</f>
        <v>0</v>
      </c>
      <c r="F12" s="65">
        <f t="shared" si="0"/>
        <v>3750128343</v>
      </c>
      <c r="G12" s="285">
        <f t="shared" si="1"/>
        <v>1.3545060344165535E-3</v>
      </c>
    </row>
    <row r="13" spans="2:7" ht="15" customHeight="1" x14ac:dyDescent="0.2">
      <c r="B13" s="12" t="s">
        <v>330</v>
      </c>
      <c r="C13" s="62">
        <f>SUM('Presupuesto detallado'!C13:E13)</f>
        <v>723880863.64999998</v>
      </c>
      <c r="D13" s="62">
        <f>SUM('Presupuesto detallado'!F13:O13)</f>
        <v>1447761727.3</v>
      </c>
      <c r="E13" s="62">
        <f>SUM('Presupuesto detallado'!P13:U13)</f>
        <v>0</v>
      </c>
      <c r="F13" s="62">
        <f t="shared" si="0"/>
        <v>2171642590.9499998</v>
      </c>
      <c r="G13" s="286">
        <f t="shared" si="1"/>
        <v>7.8437395336839377E-4</v>
      </c>
    </row>
    <row r="14" spans="2:7" ht="36" x14ac:dyDescent="0.2">
      <c r="B14" s="12" t="s">
        <v>332</v>
      </c>
      <c r="C14" s="62">
        <f>SUM('Presupuesto detallado'!C14:E14)</f>
        <v>0</v>
      </c>
      <c r="D14" s="62">
        <f>SUM('Presupuesto detallado'!F14:O14)</f>
        <v>769803865.95000005</v>
      </c>
      <c r="E14" s="62">
        <f>SUM('Presupuesto detallado'!P14:U14)</f>
        <v>0</v>
      </c>
      <c r="F14" s="62">
        <f t="shared" si="0"/>
        <v>769803865.95000005</v>
      </c>
      <c r="G14" s="286">
        <f t="shared" si="1"/>
        <v>2.7804487910201283E-4</v>
      </c>
    </row>
    <row r="15" spans="2:7" ht="27" customHeight="1" x14ac:dyDescent="0.2">
      <c r="B15" s="12" t="s">
        <v>331</v>
      </c>
      <c r="C15" s="62">
        <f>SUM('Presupuesto detallado'!C15:E15)</f>
        <v>0</v>
      </c>
      <c r="D15" s="62">
        <f>SUM('Presupuesto detallado'!F15:O15)</f>
        <v>808681886.0999999</v>
      </c>
      <c r="E15" s="62">
        <f>SUM('Presupuesto detallado'!P15:U15)</f>
        <v>0</v>
      </c>
      <c r="F15" s="62">
        <f t="shared" si="0"/>
        <v>808681886.0999999</v>
      </c>
      <c r="G15" s="286">
        <f t="shared" si="1"/>
        <v>2.9208720194614677E-4</v>
      </c>
    </row>
    <row r="16" spans="2:7" s="88" customFormat="1" ht="13.5" customHeight="1" x14ac:dyDescent="0.2">
      <c r="B16" s="9" t="s">
        <v>6</v>
      </c>
      <c r="C16" s="65">
        <f>SUM('Presupuesto detallado'!C16:E16)</f>
        <v>283634962.79999995</v>
      </c>
      <c r="D16" s="65">
        <f>SUM('Presupuesto detallado'!F16:O16)</f>
        <v>974356856.00000036</v>
      </c>
      <c r="E16" s="65">
        <f>SUM('Presupuesto detallado'!P16:U16)</f>
        <v>316803247.19999999</v>
      </c>
      <c r="F16" s="65">
        <f t="shared" si="0"/>
        <v>1574795066.0000002</v>
      </c>
      <c r="G16" s="285">
        <f t="shared" si="1"/>
        <v>5.6879904493082429E-4</v>
      </c>
    </row>
    <row r="17" spans="2:7" ht="27" customHeight="1" x14ac:dyDescent="0.2">
      <c r="B17" s="12" t="s">
        <v>335</v>
      </c>
      <c r="C17" s="85">
        <f>SUM('Presupuesto detallado'!C17:E17)</f>
        <v>0</v>
      </c>
      <c r="D17" s="85">
        <f>SUM('Presupuesto detallado'!F17:O17)</f>
        <v>446351444</v>
      </c>
      <c r="E17" s="85">
        <f>SUM('Presupuesto detallado'!P17:U17)</f>
        <v>0</v>
      </c>
      <c r="F17" s="85">
        <f t="shared" si="0"/>
        <v>446351444</v>
      </c>
      <c r="G17" s="286">
        <f t="shared" si="1"/>
        <v>1.6121734220031795E-4</v>
      </c>
    </row>
    <row r="18" spans="2:7" ht="27.75" customHeight="1" x14ac:dyDescent="0.2">
      <c r="B18" s="12" t="s">
        <v>336</v>
      </c>
      <c r="C18" s="85">
        <f>SUM('Presupuesto detallado'!C18:E18)</f>
        <v>175917334.79999998</v>
      </c>
      <c r="D18" s="85">
        <f>SUM('Presupuesto detallado'!F18:O18)</f>
        <v>528005411.99999994</v>
      </c>
      <c r="E18" s="85">
        <f>SUM('Presupuesto detallado'!P18:U18)</f>
        <v>316803247.19999999</v>
      </c>
      <c r="F18" s="85">
        <f t="shared" si="0"/>
        <v>1020725994</v>
      </c>
      <c r="G18" s="286">
        <f t="shared" si="1"/>
        <v>3.6867525372553223E-4</v>
      </c>
    </row>
    <row r="19" spans="2:7" x14ac:dyDescent="0.2">
      <c r="B19" s="12" t="s">
        <v>337</v>
      </c>
      <c r="C19" s="85">
        <f>SUM('Presupuesto detallado'!C19:E19)</f>
        <v>107717628</v>
      </c>
      <c r="D19" s="85">
        <f>SUM('Presupuesto detallado'!F19:O19)</f>
        <v>0</v>
      </c>
      <c r="E19" s="85">
        <f>SUM('Presupuesto detallado'!P19:U19)</f>
        <v>0</v>
      </c>
      <c r="F19" s="85">
        <f t="shared" si="0"/>
        <v>107717628</v>
      </c>
      <c r="G19" s="286">
        <f t="shared" si="1"/>
        <v>3.8906449004974094E-5</v>
      </c>
    </row>
    <row r="20" spans="2:7" s="88" customFormat="1" ht="19.5" customHeight="1" x14ac:dyDescent="0.2">
      <c r="B20" s="9" t="s">
        <v>3</v>
      </c>
      <c r="C20" s="65">
        <f>SUM('Presupuesto detallado'!C20:E20)</f>
        <v>0</v>
      </c>
      <c r="D20" s="65">
        <f>SUM('Presupuesto detallado'!F20:O20)</f>
        <v>7910847117</v>
      </c>
      <c r="E20" s="65">
        <f>SUM('Presupuesto detallado'!P20:U20)</f>
        <v>1932345156</v>
      </c>
      <c r="F20" s="65">
        <f t="shared" si="0"/>
        <v>9843192273</v>
      </c>
      <c r="G20" s="285">
        <f t="shared" si="1"/>
        <v>3.5552552105550406E-3</v>
      </c>
    </row>
    <row r="21" spans="2:7" ht="24" x14ac:dyDescent="0.2">
      <c r="B21" s="12" t="s">
        <v>339</v>
      </c>
      <c r="C21" s="181">
        <f>SUM('Presupuesto detallado'!C21:E21)</f>
        <v>0</v>
      </c>
      <c r="D21" s="181">
        <f>SUM('Presupuesto detallado'!F21:O21)</f>
        <v>1138806846</v>
      </c>
      <c r="E21" s="181">
        <f>SUM('Presupuesto detallado'!P21:U21)</f>
        <v>676217520</v>
      </c>
      <c r="F21" s="181">
        <f t="shared" si="0"/>
        <v>1815024366</v>
      </c>
      <c r="G21" s="286">
        <f t="shared" si="1"/>
        <v>6.5556728503680418E-4</v>
      </c>
    </row>
    <row r="22" spans="2:7" ht="36" x14ac:dyDescent="0.2">
      <c r="B22" s="12" t="s">
        <v>340</v>
      </c>
      <c r="C22" s="181">
        <f>SUM('Presupuesto detallado'!C22:E22)</f>
        <v>0</v>
      </c>
      <c r="D22" s="181">
        <f>SUM('Presupuesto detallado'!F22:O22)</f>
        <v>419259672</v>
      </c>
      <c r="E22" s="181">
        <f>SUM('Presupuesto detallado'!P22:U22)</f>
        <v>0</v>
      </c>
      <c r="F22" s="181">
        <f t="shared" si="0"/>
        <v>419259672</v>
      </c>
      <c r="G22" s="286">
        <f t="shared" si="1"/>
        <v>1.5143208545689629E-4</v>
      </c>
    </row>
    <row r="23" spans="2:7" ht="52.5" customHeight="1" x14ac:dyDescent="0.2">
      <c r="B23" s="12" t="s">
        <v>341</v>
      </c>
      <c r="C23" s="181">
        <f>SUM('Presupuesto detallado'!C23:E23)</f>
        <v>0</v>
      </c>
      <c r="D23" s="181">
        <f>SUM('Presupuesto detallado'!F23:O23)</f>
        <v>4945089420</v>
      </c>
      <c r="E23" s="181">
        <f>SUM('Presupuesto detallado'!P23:U23)</f>
        <v>549454380</v>
      </c>
      <c r="F23" s="181">
        <f t="shared" si="0"/>
        <v>5494543800</v>
      </c>
      <c r="G23" s="286">
        <f t="shared" si="1"/>
        <v>1.9845701407414634E-3</v>
      </c>
    </row>
    <row r="24" spans="2:7" ht="36" x14ac:dyDescent="0.2">
      <c r="B24" s="12" t="s">
        <v>342</v>
      </c>
      <c r="C24" s="181">
        <f>SUM('Presupuesto detallado'!C24:E24)</f>
        <v>0</v>
      </c>
      <c r="D24" s="181">
        <f>SUM('Presupuesto detallado'!F24:O24)</f>
        <v>1060009884</v>
      </c>
      <c r="E24" s="181">
        <f>SUM('Presupuesto detallado'!P24:U24)</f>
        <v>706673256</v>
      </c>
      <c r="F24" s="181">
        <f t="shared" si="0"/>
        <v>1766683140</v>
      </c>
      <c r="G24" s="286">
        <f t="shared" si="1"/>
        <v>6.3810695399231694E-4</v>
      </c>
    </row>
    <row r="25" spans="2:7" ht="19.5" customHeight="1" x14ac:dyDescent="0.2">
      <c r="B25" s="12" t="s">
        <v>343</v>
      </c>
      <c r="C25" s="181">
        <f>SUM('Presupuesto detallado'!C25:E25)</f>
        <v>0</v>
      </c>
      <c r="D25" s="181">
        <f>SUM('Presupuesto detallado'!F25:O25)</f>
        <v>347681295</v>
      </c>
      <c r="E25" s="181">
        <f>SUM('Presupuesto detallado'!P25:U25)</f>
        <v>0</v>
      </c>
      <c r="F25" s="181">
        <f t="shared" si="0"/>
        <v>347681295</v>
      </c>
      <c r="G25" s="286">
        <f t="shared" si="1"/>
        <v>1.2557874532756008E-4</v>
      </c>
    </row>
    <row r="26" spans="2:7" s="88" customFormat="1" ht="16.5" customHeight="1" x14ac:dyDescent="0.2">
      <c r="B26" s="9" t="s">
        <v>7</v>
      </c>
      <c r="C26" s="65">
        <f>SUM('Presupuesto detallado'!C26:E26)</f>
        <v>103010597779</v>
      </c>
      <c r="D26" s="65">
        <f>SUM('Presupuesto detallado'!F26:O26)</f>
        <v>517911183090</v>
      </c>
      <c r="E26" s="65">
        <f>SUM('Presupuesto detallado'!P26:U26)</f>
        <v>310746709854</v>
      </c>
      <c r="F26" s="65">
        <f t="shared" si="0"/>
        <v>931668490723</v>
      </c>
      <c r="G26" s="285">
        <f t="shared" si="1"/>
        <v>0.33650864112841011</v>
      </c>
    </row>
    <row r="27" spans="2:7" ht="51.75" customHeight="1" x14ac:dyDescent="0.2">
      <c r="B27" s="12" t="s">
        <v>346</v>
      </c>
      <c r="C27" s="85">
        <f>SUM('Presupuesto detallado'!C27:E27)</f>
        <v>103010597779</v>
      </c>
      <c r="D27" s="85">
        <f>SUM('Presupuesto detallado'!F27:O27)</f>
        <v>515052988895</v>
      </c>
      <c r="E27" s="85">
        <f>SUM('Presupuesto detallado'!P27:U27)</f>
        <v>309031793337</v>
      </c>
      <c r="F27" s="85">
        <f t="shared" si="0"/>
        <v>927095380011</v>
      </c>
      <c r="G27" s="286">
        <f t="shared" si="1"/>
        <v>0.33485688271138919</v>
      </c>
    </row>
    <row r="28" spans="2:7" ht="36" x14ac:dyDescent="0.2">
      <c r="B28" s="12" t="s">
        <v>598</v>
      </c>
      <c r="C28" s="85">
        <f>SUM('Presupuesto detallado'!C28:E28)</f>
        <v>0</v>
      </c>
      <c r="D28" s="85">
        <f>SUM('Presupuesto detallado'!F28:O28)</f>
        <v>2858194195</v>
      </c>
      <c r="E28" s="85">
        <f>SUM('Presupuesto detallado'!P28:U28)</f>
        <v>1714916517</v>
      </c>
      <c r="F28" s="85">
        <f t="shared" si="0"/>
        <v>4573110712</v>
      </c>
      <c r="G28" s="286">
        <f t="shared" si="1"/>
        <v>1.651758417020924E-3</v>
      </c>
    </row>
    <row r="29" spans="2:7" s="89" customFormat="1" ht="14.25" customHeight="1" x14ac:dyDescent="0.25">
      <c r="B29" s="8" t="s">
        <v>212</v>
      </c>
      <c r="C29" s="179">
        <f>SUM('Presupuesto detallado'!C29:E29)</f>
        <v>61479687638.699997</v>
      </c>
      <c r="D29" s="179">
        <f>SUM('Presupuesto detallado'!F29:O29)</f>
        <v>641480146014.09998</v>
      </c>
      <c r="E29" s="179">
        <f>SUM('Presupuesto detallado'!P29:U29)</f>
        <v>291081242834.70001</v>
      </c>
      <c r="F29" s="179">
        <f t="shared" si="0"/>
        <v>994041076487.5</v>
      </c>
      <c r="G29" s="284">
        <f t="shared" si="1"/>
        <v>0.35903694844831219</v>
      </c>
    </row>
    <row r="30" spans="2:7" s="89" customFormat="1" ht="16.5" customHeight="1" x14ac:dyDescent="0.25">
      <c r="B30" s="9" t="s">
        <v>11</v>
      </c>
      <c r="C30" s="65">
        <f>SUM('Presupuesto detallado'!C30:E30)</f>
        <v>60387474941.5</v>
      </c>
      <c r="D30" s="65">
        <f>SUM('Presupuesto detallado'!F30:O30)</f>
        <v>211252083422</v>
      </c>
      <c r="E30" s="65">
        <f>SUM('Presupuesto detallado'!P30:U30)</f>
        <v>131865041711</v>
      </c>
      <c r="F30" s="65">
        <f t="shared" si="0"/>
        <v>403504600074.5</v>
      </c>
      <c r="G30" s="285">
        <f t="shared" si="1"/>
        <v>0.14574152288306053</v>
      </c>
    </row>
    <row r="31" spans="2:7" ht="24" x14ac:dyDescent="0.2">
      <c r="B31" s="12" t="s">
        <v>349</v>
      </c>
      <c r="C31" s="85">
        <f>SUM('Presupuesto detallado'!C31:E31)</f>
        <v>144597779</v>
      </c>
      <c r="D31" s="85">
        <f>SUM('Presupuesto detallado'!F31:O31)</f>
        <v>722988895</v>
      </c>
      <c r="E31" s="85">
        <f>SUM('Presupuesto detallado'!P31:U31)</f>
        <v>433793337</v>
      </c>
      <c r="F31" s="85">
        <f t="shared" si="0"/>
        <v>1301380011</v>
      </c>
      <c r="G31" s="286">
        <f t="shared" si="1"/>
        <v>4.7004446694708248E-4</v>
      </c>
    </row>
    <row r="32" spans="2:7" ht="36" x14ac:dyDescent="0.2">
      <c r="B32" s="12" t="s">
        <v>350</v>
      </c>
      <c r="C32" s="85">
        <f>SUM('Presupuesto detallado'!C32:E32)</f>
        <v>96279383.5</v>
      </c>
      <c r="D32" s="85">
        <f>SUM('Presupuesto detallado'!F32:O32)</f>
        <v>0</v>
      </c>
      <c r="E32" s="85">
        <f>SUM('Presupuesto detallado'!P32:U32)</f>
        <v>0</v>
      </c>
      <c r="F32" s="85">
        <f t="shared" si="0"/>
        <v>96279383.5</v>
      </c>
      <c r="G32" s="286">
        <f t="shared" si="1"/>
        <v>3.4775078080749181E-5</v>
      </c>
    </row>
    <row r="33" spans="2:7" ht="36" x14ac:dyDescent="0.2">
      <c r="B33" s="12" t="s">
        <v>351</v>
      </c>
      <c r="C33" s="85">
        <f>SUM('Presupuesto detallado'!C33:E33)</f>
        <v>0</v>
      </c>
      <c r="D33" s="85">
        <f>SUM('Presupuesto detallado'!F33:O33)</f>
        <v>195332216</v>
      </c>
      <c r="E33" s="85">
        <f>SUM('Presupuesto detallado'!P33:U33)</f>
        <v>97666108</v>
      </c>
      <c r="F33" s="85">
        <f t="shared" si="0"/>
        <v>292998324</v>
      </c>
      <c r="G33" s="286">
        <f t="shared" si="1"/>
        <v>1.0582784417838162E-4</v>
      </c>
    </row>
    <row r="34" spans="2:7" ht="24" x14ac:dyDescent="0.2">
      <c r="B34" s="12" t="s">
        <v>352</v>
      </c>
      <c r="C34" s="85">
        <f>SUM('Presupuesto detallado'!C34:E34)</f>
        <v>0</v>
      </c>
      <c r="D34" s="85">
        <f>SUM('Presupuesto detallado'!F34:O34)</f>
        <v>167164532</v>
      </c>
      <c r="E34" s="85">
        <f>SUM('Presupuesto detallado'!P34:U34)</f>
        <v>83582266</v>
      </c>
      <c r="F34" s="85">
        <f t="shared" si="0"/>
        <v>250746798</v>
      </c>
      <c r="G34" s="286">
        <f t="shared" si="1"/>
        <v>9.0567047294687361E-5</v>
      </c>
    </row>
    <row r="35" spans="2:7" ht="29.25" customHeight="1" x14ac:dyDescent="0.2">
      <c r="B35" s="12" t="s">
        <v>353</v>
      </c>
      <c r="C35" s="85">
        <f>SUM('Presupuesto detallado'!C35:E35)</f>
        <v>0</v>
      </c>
      <c r="D35" s="85">
        <f>SUM('Presupuesto detallado'!F35:O35)</f>
        <v>30000000000</v>
      </c>
      <c r="E35" s="85">
        <f>SUM('Presupuesto detallado'!P35:U35)</f>
        <v>11250000000</v>
      </c>
      <c r="F35" s="85">
        <f t="shared" si="0"/>
        <v>41250000000</v>
      </c>
      <c r="G35" s="286">
        <f t="shared" si="1"/>
        <v>1.4899056461354509E-2</v>
      </c>
    </row>
    <row r="36" spans="2:7" ht="39.75" customHeight="1" x14ac:dyDescent="0.2">
      <c r="B36" s="12" t="s">
        <v>354</v>
      </c>
      <c r="C36" s="85">
        <f>SUM('Presupuesto detallado'!C36:E36)</f>
        <v>63298889.5</v>
      </c>
      <c r="D36" s="85">
        <f>SUM('Presupuesto detallado'!F36:O36)</f>
        <v>126597779</v>
      </c>
      <c r="E36" s="85">
        <f>SUM('Presupuesto detallado'!P36:U36)</f>
        <v>0</v>
      </c>
      <c r="F36" s="85">
        <f t="shared" si="0"/>
        <v>189896668.5</v>
      </c>
      <c r="G36" s="286">
        <f t="shared" si="1"/>
        <v>6.8588634807384733E-5</v>
      </c>
    </row>
    <row r="37" spans="2:7" ht="28.5" customHeight="1" x14ac:dyDescent="0.2">
      <c r="B37" s="12" t="s">
        <v>355</v>
      </c>
      <c r="C37" s="85">
        <f>SUM('Presupuesto detallado'!C37:E37)</f>
        <v>20000000</v>
      </c>
      <c r="D37" s="85">
        <f>SUM('Presupuesto detallado'!F37:O37)</f>
        <v>40000000</v>
      </c>
      <c r="E37" s="85">
        <f>SUM('Presupuesto detallado'!P37:U37)</f>
        <v>0</v>
      </c>
      <c r="F37" s="85">
        <f t="shared" si="0"/>
        <v>60000000</v>
      </c>
      <c r="G37" s="286">
        <f t="shared" si="1"/>
        <v>2.1671354852879285E-5</v>
      </c>
    </row>
    <row r="38" spans="2:7" ht="39.75" customHeight="1" x14ac:dyDescent="0.2">
      <c r="B38" s="12" t="s">
        <v>356</v>
      </c>
      <c r="C38" s="85">
        <f>SUM('Presupuesto detallado'!C38:E38)</f>
        <v>63298889.5</v>
      </c>
      <c r="D38" s="85">
        <f>SUM('Presupuesto detallado'!F38:O38)</f>
        <v>0</v>
      </c>
      <c r="E38" s="85">
        <f>SUM('Presupuesto detallado'!P38:U38)</f>
        <v>0</v>
      </c>
      <c r="F38" s="85">
        <f t="shared" si="0"/>
        <v>63298889.5</v>
      </c>
      <c r="G38" s="286">
        <f t="shared" si="1"/>
        <v>2.2862878269128243E-5</v>
      </c>
    </row>
    <row r="39" spans="2:7" x14ac:dyDescent="0.2">
      <c r="B39" s="12" t="s">
        <v>357</v>
      </c>
      <c r="C39" s="85">
        <f>SUM('Presupuesto detallado'!C39:E39)</f>
        <v>60000000000</v>
      </c>
      <c r="D39" s="85">
        <f>SUM('Presupuesto detallado'!F39:O39)</f>
        <v>180000000000</v>
      </c>
      <c r="E39" s="85">
        <f>SUM('Presupuesto detallado'!P39:U39)</f>
        <v>120000000000</v>
      </c>
      <c r="F39" s="85">
        <f t="shared" si="0"/>
        <v>360000000000</v>
      </c>
      <c r="G39" s="286">
        <f t="shared" si="1"/>
        <v>0.13002812911727571</v>
      </c>
    </row>
    <row r="40" spans="2:7" s="89" customFormat="1" ht="24" x14ac:dyDescent="0.25">
      <c r="B40" s="9" t="s">
        <v>12</v>
      </c>
      <c r="C40" s="65">
        <f>SUM('Presupuesto detallado'!C40:E40)</f>
        <v>270571947.69999999</v>
      </c>
      <c r="D40" s="65">
        <f>SUM('Presupuesto detallado'!F40:O40)</f>
        <v>426634781093.10004</v>
      </c>
      <c r="E40" s="65">
        <f>SUM('Presupuesto detallado'!P40:U40)</f>
        <v>159216201123.70001</v>
      </c>
      <c r="F40" s="65">
        <f t="shared" si="0"/>
        <v>586121554164.5</v>
      </c>
      <c r="G40" s="285">
        <f t="shared" si="1"/>
        <v>0.2117008031203331</v>
      </c>
    </row>
    <row r="41" spans="2:7" ht="38.25" customHeight="1" x14ac:dyDescent="0.2">
      <c r="B41" s="12" t="s">
        <v>367</v>
      </c>
      <c r="C41" s="85">
        <f>SUM('Presupuesto detallado'!C41:E41)</f>
        <v>0</v>
      </c>
      <c r="D41" s="85">
        <f>SUM('Presupuesto detallado'!F41:O41)</f>
        <v>462660719</v>
      </c>
      <c r="E41" s="85">
        <f>SUM('Presupuesto detallado'!P41:U41)</f>
        <v>0</v>
      </c>
      <c r="F41" s="85">
        <f t="shared" si="0"/>
        <v>462660719</v>
      </c>
      <c r="G41" s="286">
        <f t="shared" si="1"/>
        <v>1.6710807696562117E-4</v>
      </c>
    </row>
    <row r="42" spans="2:7" ht="25.5" customHeight="1" x14ac:dyDescent="0.2">
      <c r="B42" s="12" t="s">
        <v>368</v>
      </c>
      <c r="C42" s="85">
        <f>SUM('Presupuesto detallado'!C42:E42)</f>
        <v>0</v>
      </c>
      <c r="D42" s="85">
        <f>SUM('Presupuesto detallado'!F42:O42)</f>
        <v>314060663</v>
      </c>
      <c r="E42" s="85">
        <f>SUM('Presupuesto detallado'!P42:U42)</f>
        <v>0</v>
      </c>
      <c r="F42" s="85">
        <f t="shared" si="0"/>
        <v>314060663</v>
      </c>
      <c r="G42" s="286">
        <f t="shared" si="1"/>
        <v>1.1343533455339226E-4</v>
      </c>
    </row>
    <row r="43" spans="2:7" ht="24" x14ac:dyDescent="0.2">
      <c r="B43" s="12" t="s">
        <v>369</v>
      </c>
      <c r="C43" s="85">
        <f>SUM('Presupuesto detallado'!C43:E43)</f>
        <v>0</v>
      </c>
      <c r="D43" s="85">
        <f>SUM('Presupuesto detallado'!F43:O43)</f>
        <v>424324349280</v>
      </c>
      <c r="E43" s="85">
        <f>SUM('Presupuesto detallado'!P43:U43)</f>
        <v>159121630980</v>
      </c>
      <c r="F43" s="85">
        <f t="shared" si="0"/>
        <v>583445980260</v>
      </c>
      <c r="G43" s="286">
        <f t="shared" si="1"/>
        <v>0.21073441459500772</v>
      </c>
    </row>
    <row r="44" spans="2:7" ht="29.25" customHeight="1" x14ac:dyDescent="0.2">
      <c r="B44" s="12" t="s">
        <v>370</v>
      </c>
      <c r="C44" s="85">
        <f>SUM('Presupuesto detallado'!C44:E44)</f>
        <v>0</v>
      </c>
      <c r="D44" s="85">
        <f>SUM('Presupuesto detallado'!F44:O44)</f>
        <v>450000000</v>
      </c>
      <c r="E44" s="85">
        <f>SUM('Presupuesto detallado'!P44:U44)</f>
        <v>0</v>
      </c>
      <c r="F44" s="85">
        <f t="shared" si="0"/>
        <v>450000000</v>
      </c>
      <c r="G44" s="286">
        <f t="shared" si="1"/>
        <v>1.6253516139659463E-4</v>
      </c>
    </row>
    <row r="45" spans="2:7" ht="40.5" customHeight="1" x14ac:dyDescent="0.2">
      <c r="B45" s="12" t="s">
        <v>371</v>
      </c>
      <c r="C45" s="85">
        <f>SUM('Presupuesto detallado'!C45:E45)</f>
        <v>94570143.699999988</v>
      </c>
      <c r="D45" s="85">
        <f>SUM('Presupuesto detallado'!F45:O45)</f>
        <v>283710431.09999996</v>
      </c>
      <c r="E45" s="85">
        <f>SUM('Presupuesto detallado'!P45:U45)</f>
        <v>94570143.699999988</v>
      </c>
      <c r="F45" s="85">
        <f t="shared" si="0"/>
        <v>472850718.49999994</v>
      </c>
      <c r="G45" s="286">
        <f t="shared" si="1"/>
        <v>1.7078859521754052E-4</v>
      </c>
    </row>
    <row r="46" spans="2:7" ht="25.5" customHeight="1" x14ac:dyDescent="0.2">
      <c r="B46" s="12" t="s">
        <v>372</v>
      </c>
      <c r="C46" s="85">
        <f>SUM('Presupuesto detallado'!C46:E46)</f>
        <v>176001804</v>
      </c>
      <c r="D46" s="85">
        <f>SUM('Presupuesto detallado'!F46:O46)</f>
        <v>0</v>
      </c>
      <c r="E46" s="85">
        <f>SUM('Presupuesto detallado'!P46:U46)</f>
        <v>0</v>
      </c>
      <c r="F46" s="85">
        <f t="shared" si="0"/>
        <v>176001804</v>
      </c>
      <c r="G46" s="286">
        <f t="shared" si="1"/>
        <v>6.3569959153848482E-5</v>
      </c>
    </row>
    <row r="47" spans="2:7" ht="29.25" customHeight="1" x14ac:dyDescent="0.2">
      <c r="B47" s="12" t="s">
        <v>373</v>
      </c>
      <c r="C47" s="85">
        <f>SUM('Presupuesto detallado'!C47:E47)</f>
        <v>0</v>
      </c>
      <c r="D47" s="85">
        <f>SUM('Presupuesto detallado'!F47:O47)</f>
        <v>800000000</v>
      </c>
      <c r="E47" s="85">
        <f>SUM('Presupuesto detallado'!P47:U47)</f>
        <v>0</v>
      </c>
      <c r="F47" s="85">
        <f t="shared" si="0"/>
        <v>800000000</v>
      </c>
      <c r="G47" s="286">
        <f t="shared" si="1"/>
        <v>2.8895139803839046E-4</v>
      </c>
    </row>
    <row r="48" spans="2:7" s="89" customFormat="1" ht="15" customHeight="1" x14ac:dyDescent="0.25">
      <c r="B48" s="9" t="s">
        <v>13</v>
      </c>
      <c r="C48" s="65">
        <f>SUM('Presupuesto detallado'!C48:E48)</f>
        <v>821640749.5</v>
      </c>
      <c r="D48" s="65">
        <f>SUM('Presupuesto detallado'!F48:O48)</f>
        <v>3593281499</v>
      </c>
      <c r="E48" s="65">
        <f>SUM('Presupuesto detallado'!P48:U48)</f>
        <v>0</v>
      </c>
      <c r="F48" s="65">
        <f t="shared" si="0"/>
        <v>4414922248.5</v>
      </c>
      <c r="G48" s="285">
        <f t="shared" si="1"/>
        <v>1.5946224449185867E-3</v>
      </c>
    </row>
    <row r="49" spans="2:7" ht="26.25" customHeight="1" x14ac:dyDescent="0.2">
      <c r="B49" s="12" t="s">
        <v>382</v>
      </c>
      <c r="C49" s="147">
        <f>SUM('Presupuesto detallado'!C49:E49)</f>
        <v>126727359</v>
      </c>
      <c r="D49" s="147">
        <f>SUM('Presupuesto detallado'!F49:O49)</f>
        <v>253454718</v>
      </c>
      <c r="E49" s="147">
        <f>SUM('Presupuesto detallado'!P49:U49)</f>
        <v>0</v>
      </c>
      <c r="F49" s="147">
        <f t="shared" si="0"/>
        <v>380182077</v>
      </c>
      <c r="G49" s="287">
        <f t="shared" si="1"/>
        <v>1.3731767832286126E-4</v>
      </c>
    </row>
    <row r="50" spans="2:7" ht="27.75" customHeight="1" x14ac:dyDescent="0.2">
      <c r="B50" s="12" t="s">
        <v>383</v>
      </c>
      <c r="C50" s="147">
        <f>SUM('Presupuesto detallado'!C50:E50)</f>
        <v>146727359</v>
      </c>
      <c r="D50" s="147">
        <f>SUM('Presupuesto detallado'!F50:O50)</f>
        <v>293454718</v>
      </c>
      <c r="E50" s="147">
        <f>SUM('Presupuesto detallado'!P50:U50)</f>
        <v>0</v>
      </c>
      <c r="F50" s="147">
        <f t="shared" si="0"/>
        <v>440182077</v>
      </c>
      <c r="G50" s="287">
        <f t="shared" si="1"/>
        <v>1.5898903317574056E-4</v>
      </c>
    </row>
    <row r="51" spans="2:7" ht="40.5" customHeight="1" x14ac:dyDescent="0.2">
      <c r="B51" s="12" t="s">
        <v>384</v>
      </c>
      <c r="C51" s="147">
        <f>SUM('Presupuesto detallado'!C51:E51)</f>
        <v>48186031.5</v>
      </c>
      <c r="D51" s="147">
        <f>SUM('Presupuesto detallado'!F51:O51)</f>
        <v>96372063</v>
      </c>
      <c r="E51" s="147">
        <f>SUM('Presupuesto detallado'!P51:U51)</f>
        <v>0</v>
      </c>
      <c r="F51" s="147">
        <f t="shared" si="0"/>
        <v>144558094.5</v>
      </c>
      <c r="G51" s="287">
        <f t="shared" si="1"/>
        <v>5.2212829379425958E-5</v>
      </c>
    </row>
    <row r="52" spans="2:7" ht="26.25" customHeight="1" x14ac:dyDescent="0.2">
      <c r="B52" s="12" t="s">
        <v>385</v>
      </c>
      <c r="C52" s="147">
        <f>SUM('Presupuesto detallado'!C52:E52)</f>
        <v>500000000</v>
      </c>
      <c r="D52" s="147">
        <f>SUM('Presupuesto detallado'!F52:O52)</f>
        <v>2500000000</v>
      </c>
      <c r="E52" s="147">
        <f>SUM('Presupuesto detallado'!P52:U52)</f>
        <v>0</v>
      </c>
      <c r="F52" s="147">
        <f t="shared" si="0"/>
        <v>3000000000</v>
      </c>
      <c r="G52" s="287">
        <f t="shared" si="1"/>
        <v>1.0835677426439642E-3</v>
      </c>
    </row>
    <row r="53" spans="2:7" ht="29.25" customHeight="1" x14ac:dyDescent="0.2">
      <c r="B53" s="12" t="s">
        <v>386</v>
      </c>
      <c r="C53" s="147">
        <f>SUM('Presupuesto detallado'!C53:E53)</f>
        <v>0</v>
      </c>
      <c r="D53" s="147">
        <f>SUM('Presupuesto detallado'!F53:O53)</f>
        <v>450000000</v>
      </c>
      <c r="E53" s="147">
        <f>SUM('Presupuesto detallado'!P53:U53)</f>
        <v>0</v>
      </c>
      <c r="F53" s="147">
        <f t="shared" si="0"/>
        <v>450000000</v>
      </c>
      <c r="G53" s="287">
        <f t="shared" si="1"/>
        <v>1.6253516139659463E-4</v>
      </c>
    </row>
    <row r="54" spans="2:7" s="89" customFormat="1" ht="15" customHeight="1" x14ac:dyDescent="0.25">
      <c r="B54" s="8" t="s">
        <v>579</v>
      </c>
      <c r="C54" s="179">
        <f>SUM('Presupuesto detallado'!C54:E54)</f>
        <v>13394749831.5</v>
      </c>
      <c r="D54" s="179">
        <f>SUM('Presupuesto detallado'!F54:O54)</f>
        <v>60201970036.5</v>
      </c>
      <c r="E54" s="179">
        <f>SUM('Presupuesto detallado'!P54:U54)</f>
        <v>34281849938</v>
      </c>
      <c r="F54" s="179">
        <f t="shared" si="0"/>
        <v>107878569806</v>
      </c>
      <c r="G54" s="284">
        <f t="shared" si="1"/>
        <v>3.8964579454782246E-2</v>
      </c>
    </row>
    <row r="55" spans="2:7" s="89" customFormat="1" ht="13.5" customHeight="1" x14ac:dyDescent="0.25">
      <c r="B55" s="9" t="s">
        <v>392</v>
      </c>
      <c r="C55" s="65">
        <f>SUM('Presupuesto detallado'!C55:E55)</f>
        <v>3409686639</v>
      </c>
      <c r="D55" s="65">
        <f>SUM('Presupuesto detallado'!F55:O55)</f>
        <v>14134918595</v>
      </c>
      <c r="E55" s="65">
        <f>SUM('Presupuesto detallado'!P55:U55)</f>
        <v>7551948451</v>
      </c>
      <c r="F55" s="65">
        <f t="shared" si="0"/>
        <v>25096553685</v>
      </c>
      <c r="G55" s="285">
        <f t="shared" si="1"/>
        <v>9.0646053415328384E-3</v>
      </c>
    </row>
    <row r="56" spans="2:7" ht="26.25" customHeight="1" x14ac:dyDescent="0.2">
      <c r="B56" s="12" t="s">
        <v>393</v>
      </c>
      <c r="C56" s="85">
        <f>SUM('Presupuesto detallado'!C56:E56)</f>
        <v>412702920</v>
      </c>
      <c r="D56" s="85">
        <f>SUM('Presupuesto detallado'!F56:O56)</f>
        <v>900000000</v>
      </c>
      <c r="E56" s="85">
        <f>SUM('Presupuesto detallado'!P56:U56)</f>
        <v>0</v>
      </c>
      <c r="F56" s="85">
        <f t="shared" si="0"/>
        <v>1312702920</v>
      </c>
      <c r="G56" s="286">
        <f t="shared" si="1"/>
        <v>4.741341799288468E-4</v>
      </c>
    </row>
    <row r="57" spans="2:7" ht="28.5" customHeight="1" x14ac:dyDescent="0.2">
      <c r="B57" s="12" t="s">
        <v>394</v>
      </c>
      <c r="C57" s="85">
        <f>SUM('Presupuesto detallado'!C57:E57)</f>
        <v>2508982817</v>
      </c>
      <c r="D57" s="85">
        <f>SUM('Presupuesto detallado'!F57:O57)</f>
        <v>12544914085</v>
      </c>
      <c r="E57" s="85">
        <f>SUM('Presupuesto detallado'!P57:U57)</f>
        <v>7526948451</v>
      </c>
      <c r="F57" s="85">
        <f t="shared" si="0"/>
        <v>22580845353</v>
      </c>
      <c r="G57" s="286">
        <f t="shared" si="1"/>
        <v>8.155958542047554E-3</v>
      </c>
    </row>
    <row r="58" spans="2:7" ht="39" customHeight="1" x14ac:dyDescent="0.2">
      <c r="B58" s="12" t="s">
        <v>396</v>
      </c>
      <c r="C58" s="85">
        <f>SUM('Presupuesto detallado'!C58:E58)</f>
        <v>400000000</v>
      </c>
      <c r="D58" s="85">
        <f>SUM('Presupuesto detallado'!F58:O58)</f>
        <v>250000000</v>
      </c>
      <c r="E58" s="85">
        <f>SUM('Presupuesto detallado'!P58:U58)</f>
        <v>25000000</v>
      </c>
      <c r="F58" s="85">
        <f t="shared" si="0"/>
        <v>675000000</v>
      </c>
      <c r="G58" s="286">
        <f t="shared" si="1"/>
        <v>2.4380274209489196E-4</v>
      </c>
    </row>
    <row r="59" spans="2:7" ht="24" x14ac:dyDescent="0.2">
      <c r="B59" s="12" t="s">
        <v>597</v>
      </c>
      <c r="C59" s="85">
        <f>SUM('Presupuesto detallado'!C59:E59)</f>
        <v>88000902</v>
      </c>
      <c r="D59" s="85">
        <f>SUM('Presupuesto detallado'!F59:O59)</f>
        <v>440004510</v>
      </c>
      <c r="E59" s="85">
        <f>SUM('Presupuesto detallado'!P59:U59)</f>
        <v>0</v>
      </c>
      <c r="F59" s="85">
        <f t="shared" si="0"/>
        <v>528005412</v>
      </c>
      <c r="G59" s="286">
        <f t="shared" si="1"/>
        <v>1.9070987746154543E-4</v>
      </c>
    </row>
    <row r="60" spans="2:7" s="89" customFormat="1" ht="18" customHeight="1" x14ac:dyDescent="0.25">
      <c r="B60" s="9" t="s">
        <v>582</v>
      </c>
      <c r="C60" s="65">
        <f>SUM('Presupuesto detallado'!C60:E60)</f>
        <v>3476953606.5</v>
      </c>
      <c r="D60" s="65">
        <f>SUM('Presupuesto detallado'!F60:O60)</f>
        <v>15223754502.5</v>
      </c>
      <c r="E60" s="65">
        <f>SUM('Presupuesto detallado'!P60:U60)</f>
        <v>8912850672</v>
      </c>
      <c r="F60" s="65">
        <f t="shared" si="0"/>
        <v>27613558781</v>
      </c>
      <c r="G60" s="285">
        <f t="shared" si="1"/>
        <v>9.973720518231529E-3</v>
      </c>
    </row>
    <row r="61" spans="2:7" x14ac:dyDescent="0.2">
      <c r="B61" s="12" t="s">
        <v>402</v>
      </c>
      <c r="C61" s="85">
        <f>SUM('Presupuesto detallado'!C61:E61)</f>
        <v>48540101</v>
      </c>
      <c r="D61" s="85">
        <f>SUM('Presupuesto detallado'!F61:O61)</f>
        <v>242700505</v>
      </c>
      <c r="E61" s="85">
        <f>SUM('Presupuesto detallado'!P61:U61)</f>
        <v>145620303</v>
      </c>
      <c r="F61" s="85">
        <f t="shared" si="0"/>
        <v>436860909</v>
      </c>
      <c r="G61" s="286">
        <f t="shared" si="1"/>
        <v>1.5778946300484009E-4</v>
      </c>
    </row>
    <row r="62" spans="2:7" x14ac:dyDescent="0.2">
      <c r="B62" s="12" t="s">
        <v>403</v>
      </c>
      <c r="C62" s="85">
        <f>SUM('Presupuesto detallado'!C62:E62)</f>
        <v>220002255</v>
      </c>
      <c r="D62" s="85">
        <f>SUM('Presupuesto detallado'!F62:O62)</f>
        <v>1100011275</v>
      </c>
      <c r="E62" s="85">
        <f>SUM('Presupuesto detallado'!P62:U62)</f>
        <v>660006765</v>
      </c>
      <c r="F62" s="85">
        <f t="shared" si="0"/>
        <v>1980020295</v>
      </c>
      <c r="G62" s="286">
        <f t="shared" si="1"/>
        <v>7.1516204048079545E-4</v>
      </c>
    </row>
    <row r="63" spans="2:7" ht="28.5" customHeight="1" x14ac:dyDescent="0.2">
      <c r="B63" s="12" t="s">
        <v>404</v>
      </c>
      <c r="C63" s="85">
        <f>SUM('Presupuesto detallado'!C63:E63)</f>
        <v>246002255</v>
      </c>
      <c r="D63" s="85">
        <f>SUM('Presupuesto detallado'!F63:O63)</f>
        <v>369003382.5</v>
      </c>
      <c r="E63" s="85">
        <f>SUM('Presupuesto detallado'!P63:U63)</f>
        <v>0</v>
      </c>
      <c r="F63" s="85">
        <f t="shared" si="0"/>
        <v>615005637.5</v>
      </c>
      <c r="G63" s="286">
        <f t="shared" si="1"/>
        <v>2.2213342344639574E-4</v>
      </c>
    </row>
    <row r="64" spans="2:7" ht="29.25" customHeight="1" x14ac:dyDescent="0.2">
      <c r="B64" s="12" t="s">
        <v>405</v>
      </c>
      <c r="C64" s="85">
        <f>SUM('Presupuesto detallado'!C64:E64)</f>
        <v>457124858</v>
      </c>
      <c r="D64" s="85">
        <f>SUM('Presupuesto detallado'!F64:O64)</f>
        <v>2285624290</v>
      </c>
      <c r="E64" s="85">
        <f>SUM('Presupuesto detallado'!P64:U64)</f>
        <v>1371374574</v>
      </c>
      <c r="F64" s="85">
        <f t="shared" si="0"/>
        <v>4114123722</v>
      </c>
      <c r="G64" s="286">
        <f t="shared" si="1"/>
        <v>1.4859772514685082E-3</v>
      </c>
    </row>
    <row r="65" spans="2:7" ht="26.25" customHeight="1" x14ac:dyDescent="0.2">
      <c r="B65" s="12" t="s">
        <v>580</v>
      </c>
      <c r="C65" s="85">
        <f>SUM('Presupuesto detallado'!C65:E65)</f>
        <v>260001127.5</v>
      </c>
      <c r="D65" s="85">
        <f>SUM('Presupuesto detallado'!F65:O65)</f>
        <v>0</v>
      </c>
      <c r="E65" s="85">
        <f>SUM('Presupuesto detallado'!P65:U65)</f>
        <v>0</v>
      </c>
      <c r="F65" s="85">
        <f t="shared" si="0"/>
        <v>260001127.5</v>
      </c>
      <c r="G65" s="286">
        <f t="shared" si="1"/>
        <v>9.3909611603353518E-5</v>
      </c>
    </row>
    <row r="66" spans="2:7" ht="36" x14ac:dyDescent="0.2">
      <c r="B66" s="12" t="s">
        <v>581</v>
      </c>
      <c r="C66" s="85">
        <f>SUM('Presupuesto detallado'!C66:E66)</f>
        <v>2245283010</v>
      </c>
      <c r="D66" s="85">
        <f>SUM('Presupuesto detallado'!F66:O66)</f>
        <v>11226415050</v>
      </c>
      <c r="E66" s="85">
        <f>SUM('Presupuesto detallado'!P66:U66)</f>
        <v>6735849030</v>
      </c>
      <c r="F66" s="85">
        <f t="shared" si="0"/>
        <v>20207547090</v>
      </c>
      <c r="G66" s="286">
        <f t="shared" si="1"/>
        <v>7.2987487282276369E-3</v>
      </c>
    </row>
    <row r="67" spans="2:7" x14ac:dyDescent="0.2">
      <c r="B67" s="9" t="s">
        <v>583</v>
      </c>
      <c r="C67" s="179">
        <f>SUM('Presupuesto detallado'!C67:E67)</f>
        <v>6508109586</v>
      </c>
      <c r="D67" s="179">
        <f>SUM('Presupuesto detallado'!F67:O67)</f>
        <v>29645994299</v>
      </c>
      <c r="E67" s="179">
        <f>SUM('Presupuesto detallado'!P67:U67)</f>
        <v>17817050815</v>
      </c>
      <c r="F67" s="179">
        <f t="shared" si="0"/>
        <v>53971154700</v>
      </c>
      <c r="G67" s="284">
        <f t="shared" si="1"/>
        <v>1.9493800755389062E-2</v>
      </c>
    </row>
    <row r="68" spans="2:7" ht="24" x14ac:dyDescent="0.2">
      <c r="B68" s="12" t="s">
        <v>584</v>
      </c>
      <c r="C68" s="85">
        <f>SUM('Presupuesto detallado'!C68:E68)</f>
        <v>24270050.5</v>
      </c>
      <c r="D68" s="85">
        <f>SUM('Presupuesto detallado'!F68:O68)</f>
        <v>72810151.5</v>
      </c>
      <c r="E68" s="85">
        <f>SUM('Presupuesto detallado'!P68:U68)</f>
        <v>48540101</v>
      </c>
      <c r="F68" s="85">
        <f t="shared" si="0"/>
        <v>145620303</v>
      </c>
      <c r="G68" s="286">
        <f t="shared" si="1"/>
        <v>5.2596487668280035E-5</v>
      </c>
    </row>
    <row r="69" spans="2:7" ht="24" x14ac:dyDescent="0.2">
      <c r="B69" s="12" t="s">
        <v>585</v>
      </c>
      <c r="C69" s="85">
        <f>SUM('Presupuesto detallado'!C69:E69)</f>
        <v>220002255</v>
      </c>
      <c r="D69" s="85">
        <f>SUM('Presupuesto detallado'!F69:O69)</f>
        <v>1100011275</v>
      </c>
      <c r="E69" s="85">
        <f>SUM('Presupuesto detallado'!P69:U69)</f>
        <v>660006765</v>
      </c>
      <c r="F69" s="85">
        <f t="shared" si="0"/>
        <v>1980020295</v>
      </c>
      <c r="G69" s="286">
        <f t="shared" si="1"/>
        <v>7.1516204048079545E-4</v>
      </c>
    </row>
    <row r="70" spans="2:7" ht="24" x14ac:dyDescent="0.2">
      <c r="B70" s="12" t="s">
        <v>586</v>
      </c>
      <c r="C70" s="85">
        <f>SUM('Presupuesto detallado'!C70:E70)</f>
        <v>123001127.5</v>
      </c>
      <c r="D70" s="85">
        <f>SUM('Presupuesto detallado'!F70:O70)</f>
        <v>369003382.5</v>
      </c>
      <c r="E70" s="85">
        <f>SUM('Presupuesto detallado'!P70:U70)</f>
        <v>246002255</v>
      </c>
      <c r="F70" s="85">
        <f t="shared" ref="F70:F133" si="2">SUM(C70:E70)</f>
        <v>738006765</v>
      </c>
      <c r="G70" s="286">
        <f t="shared" ref="G70:G133" si="3">+F70/$F$160</f>
        <v>2.6656010813567489E-4</v>
      </c>
    </row>
    <row r="71" spans="2:7" ht="24" x14ac:dyDescent="0.2">
      <c r="B71" s="12" t="s">
        <v>587</v>
      </c>
      <c r="C71" s="85">
        <f>SUM('Presupuesto detallado'!C71:E71)</f>
        <v>3675550888</v>
      </c>
      <c r="D71" s="85">
        <f>SUM('Presupuesto detallado'!F71:O71)</f>
        <v>18377754440</v>
      </c>
      <c r="E71" s="85">
        <f>SUM('Presupuesto detallado'!P71:U71)</f>
        <v>11026652664</v>
      </c>
      <c r="F71" s="85">
        <f t="shared" si="2"/>
        <v>33079957992</v>
      </c>
      <c r="G71" s="286">
        <f t="shared" si="3"/>
        <v>1.1948125136049535E-2</v>
      </c>
    </row>
    <row r="72" spans="2:7" ht="36" x14ac:dyDescent="0.2">
      <c r="B72" s="12" t="s">
        <v>588</v>
      </c>
      <c r="C72" s="85">
        <f>SUM('Presupuesto detallado'!C72:E72)</f>
        <v>520002255</v>
      </c>
      <c r="D72" s="85">
        <f>SUM('Presupuesto detallado'!F72:O72)</f>
        <v>0</v>
      </c>
      <c r="E72" s="85">
        <f>SUM('Presupuesto detallado'!P72:U72)</f>
        <v>0</v>
      </c>
      <c r="F72" s="85">
        <f t="shared" si="2"/>
        <v>520002255</v>
      </c>
      <c r="G72" s="286">
        <f t="shared" si="3"/>
        <v>1.8781922320670704E-4</v>
      </c>
    </row>
    <row r="73" spans="2:7" ht="24" x14ac:dyDescent="0.2">
      <c r="B73" s="12" t="s">
        <v>589</v>
      </c>
      <c r="C73" s="85">
        <f>SUM('Presupuesto detallado'!C73:E73)</f>
        <v>1945283010</v>
      </c>
      <c r="D73" s="85">
        <f>SUM('Presupuesto detallado'!F73:O73)</f>
        <v>9726415050</v>
      </c>
      <c r="E73" s="85">
        <f>SUM('Presupuesto detallado'!P73:U73)</f>
        <v>5835849030</v>
      </c>
      <c r="F73" s="85">
        <f t="shared" si="2"/>
        <v>17507547090</v>
      </c>
      <c r="G73" s="286">
        <f t="shared" si="3"/>
        <v>6.3235377598480687E-3</v>
      </c>
    </row>
    <row r="74" spans="2:7" s="89" customFormat="1" ht="18" customHeight="1" x14ac:dyDescent="0.25">
      <c r="B74" s="9" t="s">
        <v>590</v>
      </c>
      <c r="C74" s="65">
        <f>SUM('Presupuesto detallado'!C74:E74)</f>
        <v>0</v>
      </c>
      <c r="D74" s="65">
        <f>SUM('Presupuesto detallado'!F74:O74)</f>
        <v>1197302640</v>
      </c>
      <c r="E74" s="65">
        <f>SUM('Presupuesto detallado'!P74:U74)</f>
        <v>0</v>
      </c>
      <c r="F74" s="65">
        <f t="shared" si="2"/>
        <v>1197302640</v>
      </c>
      <c r="G74" s="285">
        <f t="shared" si="3"/>
        <v>4.324528396288197E-4</v>
      </c>
    </row>
    <row r="75" spans="2:7" ht="26.25" customHeight="1" x14ac:dyDescent="0.2">
      <c r="B75" s="12" t="s">
        <v>591</v>
      </c>
      <c r="C75" s="85">
        <f>SUM('Presupuesto detallado'!C75:E75)</f>
        <v>0</v>
      </c>
      <c r="D75" s="85">
        <f>SUM('Presupuesto detallado'!F75:O75)</f>
        <v>46105740</v>
      </c>
      <c r="E75" s="85">
        <f>SUM('Presupuesto detallado'!P75:U75)</f>
        <v>0</v>
      </c>
      <c r="F75" s="85">
        <f t="shared" si="2"/>
        <v>46105740</v>
      </c>
      <c r="G75" s="286">
        <f t="shared" si="3"/>
        <v>1.6652897538243176E-5</v>
      </c>
    </row>
    <row r="76" spans="2:7" ht="30" customHeight="1" x14ac:dyDescent="0.2">
      <c r="B76" s="12" t="s">
        <v>592</v>
      </c>
      <c r="C76" s="85">
        <f>SUM('Presupuesto detallado'!C76:E76)</f>
        <v>0</v>
      </c>
      <c r="D76" s="85">
        <f>SUM('Presupuesto detallado'!F76:O76)</f>
        <v>587682300</v>
      </c>
      <c r="E76" s="85">
        <f>SUM('Presupuesto detallado'!P76:U76)</f>
        <v>0</v>
      </c>
      <c r="F76" s="85">
        <f t="shared" si="2"/>
        <v>587682300</v>
      </c>
      <c r="G76" s="286">
        <f t="shared" si="3"/>
        <v>2.1226452773427101E-4</v>
      </c>
    </row>
    <row r="77" spans="2:7" ht="38.25" customHeight="1" x14ac:dyDescent="0.2">
      <c r="B77" s="12" t="s">
        <v>593</v>
      </c>
      <c r="C77" s="85">
        <f>SUM('Presupuesto detallado'!C77:E77)</f>
        <v>0</v>
      </c>
      <c r="D77" s="85">
        <f>SUM('Presupuesto detallado'!F77:O77)</f>
        <v>338108760</v>
      </c>
      <c r="E77" s="85">
        <f>SUM('Presupuesto detallado'!P77:U77)</f>
        <v>0</v>
      </c>
      <c r="F77" s="85">
        <f t="shared" si="2"/>
        <v>338108760</v>
      </c>
      <c r="G77" s="286">
        <f t="shared" si="3"/>
        <v>1.2212124861378331E-4</v>
      </c>
    </row>
    <row r="78" spans="2:7" ht="30.75" customHeight="1" x14ac:dyDescent="0.2">
      <c r="B78" s="12" t="s">
        <v>594</v>
      </c>
      <c r="C78" s="85">
        <f>SUM('Presupuesto detallado'!C78:E78)</f>
        <v>0</v>
      </c>
      <c r="D78" s="85">
        <f>SUM('Presupuesto detallado'!F78:O78)</f>
        <v>225405840</v>
      </c>
      <c r="E78" s="85">
        <f>SUM('Presupuesto detallado'!P78:U78)</f>
        <v>0</v>
      </c>
      <c r="F78" s="85">
        <f t="shared" si="2"/>
        <v>225405840</v>
      </c>
      <c r="G78" s="286">
        <f t="shared" si="3"/>
        <v>8.1414165742522195E-5</v>
      </c>
    </row>
    <row r="79" spans="2:7" s="89" customFormat="1" ht="15.75" customHeight="1" x14ac:dyDescent="0.25">
      <c r="B79" s="8" t="s">
        <v>213</v>
      </c>
      <c r="C79" s="179">
        <f>SUM('Presupuesto detallado'!C79:E79)</f>
        <v>251070053.25</v>
      </c>
      <c r="D79" s="179">
        <f>SUM('Presupuesto detallado'!F79:O79)</f>
        <v>191205103926.10001</v>
      </c>
      <c r="E79" s="179">
        <f>SUM('Presupuesto detallado'!P79:U79)</f>
        <v>21298068673.849998</v>
      </c>
      <c r="F79" s="179">
        <f t="shared" si="2"/>
        <v>212754242653.20001</v>
      </c>
      <c r="G79" s="284">
        <f t="shared" si="3"/>
        <v>7.6844544816551383E-2</v>
      </c>
    </row>
    <row r="80" spans="2:7" s="89" customFormat="1" ht="18" customHeight="1" x14ac:dyDescent="0.25">
      <c r="B80" s="9" t="s">
        <v>15</v>
      </c>
      <c r="C80" s="65">
        <f>SUM('Presupuesto detallado'!C80:E80)</f>
        <v>251070053.25</v>
      </c>
      <c r="D80" s="65">
        <f>SUM('Presupuesto detallado'!F80:O80)</f>
        <v>190428576820.85001</v>
      </c>
      <c r="E80" s="65">
        <f>SUM('Presupuesto detallado'!P80:U80)</f>
        <v>21141159351.599998</v>
      </c>
      <c r="F80" s="65">
        <f t="shared" si="2"/>
        <v>211820806225.70001</v>
      </c>
      <c r="G80" s="285">
        <f t="shared" si="3"/>
        <v>7.6507397615668785E-2</v>
      </c>
    </row>
    <row r="81" spans="2:7" ht="36" x14ac:dyDescent="0.2">
      <c r="B81" s="12" t="s">
        <v>417</v>
      </c>
      <c r="C81" s="85">
        <f>SUM('Presupuesto detallado'!C81:E81)</f>
        <v>98226395.25</v>
      </c>
      <c r="D81" s="85">
        <f>SUM('Presupuesto detallado'!F81:O81)</f>
        <v>98226395.25</v>
      </c>
      <c r="E81" s="85">
        <f>SUM('Presupuesto detallado'!P81:U81)</f>
        <v>0</v>
      </c>
      <c r="F81" s="85">
        <f t="shared" si="2"/>
        <v>196452790.5</v>
      </c>
      <c r="G81" s="286">
        <f t="shared" si="3"/>
        <v>7.0956635579397546E-5</v>
      </c>
    </row>
    <row r="82" spans="2:7" ht="30.75" customHeight="1" x14ac:dyDescent="0.2">
      <c r="B82" s="12" t="s">
        <v>418</v>
      </c>
      <c r="C82" s="85">
        <f>SUM('Presupuesto detallado'!C82:E82)</f>
        <v>0</v>
      </c>
      <c r="D82" s="85">
        <f>SUM('Presupuesto detallado'!F82:O82)</f>
        <v>423478054.79999995</v>
      </c>
      <c r="E82" s="85">
        <f>SUM('Presupuesto detallado'!P82:U82)</f>
        <v>141159351.59999999</v>
      </c>
      <c r="F82" s="85">
        <f t="shared" si="2"/>
        <v>564637406.39999998</v>
      </c>
      <c r="G82" s="286">
        <f t="shared" si="3"/>
        <v>2.0394095995506355E-4</v>
      </c>
    </row>
    <row r="83" spans="2:7" ht="36" x14ac:dyDescent="0.2">
      <c r="B83" s="12" t="s">
        <v>538</v>
      </c>
      <c r="C83" s="85">
        <f>SUM('Presupuesto detallado'!C83:E83)</f>
        <v>0</v>
      </c>
      <c r="D83" s="85">
        <f>SUM('Presupuesto detallado'!F83:O83)</f>
        <v>122274926.39999999</v>
      </c>
      <c r="E83" s="85">
        <f>SUM('Presupuesto detallado'!P83:U83)</f>
        <v>0</v>
      </c>
      <c r="F83" s="85">
        <f t="shared" si="2"/>
        <v>122274926.39999999</v>
      </c>
      <c r="G83" s="286">
        <f t="shared" si="3"/>
        <v>4.4164388660401625E-5</v>
      </c>
    </row>
    <row r="84" spans="2:7" ht="36" x14ac:dyDescent="0.2">
      <c r="B84" s="12" t="s">
        <v>419</v>
      </c>
      <c r="C84" s="85">
        <f>SUM('Presupuesto detallado'!C84:E84)</f>
        <v>0</v>
      </c>
      <c r="D84" s="85">
        <f>SUM('Presupuesto detallado'!F84:O84)</f>
        <v>101895772</v>
      </c>
      <c r="E84" s="85">
        <f>SUM('Presupuesto detallado'!P84:U84)</f>
        <v>0</v>
      </c>
      <c r="F84" s="85">
        <f t="shared" si="2"/>
        <v>101895772</v>
      </c>
      <c r="G84" s="286">
        <f t="shared" si="3"/>
        <v>3.6803657217001354E-5</v>
      </c>
    </row>
    <row r="85" spans="2:7" ht="48" x14ac:dyDescent="0.2">
      <c r="B85" s="12" t="s">
        <v>539</v>
      </c>
      <c r="C85" s="85">
        <f>SUM('Presupuesto detallado'!C85:E85)</f>
        <v>0</v>
      </c>
      <c r="D85" s="85">
        <f>SUM('Presupuesto detallado'!F85:O85)</f>
        <v>122274926.39999999</v>
      </c>
      <c r="E85" s="85">
        <f>SUM('Presupuesto detallado'!P85:U85)</f>
        <v>0</v>
      </c>
      <c r="F85" s="85">
        <f t="shared" si="2"/>
        <v>122274926.39999999</v>
      </c>
      <c r="G85" s="286">
        <f t="shared" si="3"/>
        <v>4.4164388660401625E-5</v>
      </c>
    </row>
    <row r="86" spans="2:7" ht="25.5" customHeight="1" x14ac:dyDescent="0.2">
      <c r="B86" s="12" t="s">
        <v>420</v>
      </c>
      <c r="C86" s="85">
        <f>SUM('Presupuesto detallado'!C86:E86)</f>
        <v>101895772</v>
      </c>
      <c r="D86" s="85">
        <f>SUM('Presupuesto detallado'!F86:O86)</f>
        <v>203791544</v>
      </c>
      <c r="E86" s="85">
        <f>SUM('Presupuesto detallado'!P86:U86)</f>
        <v>0</v>
      </c>
      <c r="F86" s="85">
        <f t="shared" si="2"/>
        <v>305687316</v>
      </c>
      <c r="G86" s="286">
        <f t="shared" si="3"/>
        <v>1.1041097165100406E-4</v>
      </c>
    </row>
    <row r="87" spans="2:7" ht="42" customHeight="1" x14ac:dyDescent="0.2">
      <c r="B87" s="12" t="s">
        <v>421</v>
      </c>
      <c r="C87" s="85">
        <f>SUM('Presupuesto detallado'!C87:E87)</f>
        <v>0</v>
      </c>
      <c r="D87" s="85">
        <f>SUM('Presupuesto detallado'!F87:O87)</f>
        <v>189050947886</v>
      </c>
      <c r="E87" s="85">
        <f>SUM('Presupuesto detallado'!P87:U87)</f>
        <v>21000000000</v>
      </c>
      <c r="F87" s="85">
        <f t="shared" si="2"/>
        <v>210050947886</v>
      </c>
      <c r="G87" s="286">
        <f t="shared" si="3"/>
        <v>7.5868143813686006E-2</v>
      </c>
    </row>
    <row r="88" spans="2:7" ht="36" x14ac:dyDescent="0.2">
      <c r="B88" s="12" t="s">
        <v>422</v>
      </c>
      <c r="C88" s="85">
        <f>SUM('Presupuesto detallado'!C88:E88)</f>
        <v>0</v>
      </c>
      <c r="D88" s="85">
        <f>SUM('Presupuesto detallado'!F88:O88)</f>
        <v>203791544</v>
      </c>
      <c r="E88" s="85">
        <f>SUM('Presupuesto detallado'!P88:U88)</f>
        <v>0</v>
      </c>
      <c r="F88" s="85">
        <f t="shared" si="2"/>
        <v>203791544</v>
      </c>
      <c r="G88" s="286">
        <f t="shared" si="3"/>
        <v>7.3607314434002708E-5</v>
      </c>
    </row>
    <row r="89" spans="2:7" ht="24.75" customHeight="1" x14ac:dyDescent="0.2">
      <c r="B89" s="12" t="s">
        <v>423</v>
      </c>
      <c r="C89" s="85">
        <f>SUM('Presupuesto detallado'!C89:E89)</f>
        <v>50947886</v>
      </c>
      <c r="D89" s="85">
        <f>SUM('Presupuesto detallado'!F89:O89)</f>
        <v>101895772</v>
      </c>
      <c r="E89" s="85">
        <f>SUM('Presupuesto detallado'!P89:U89)</f>
        <v>0</v>
      </c>
      <c r="F89" s="85">
        <f t="shared" si="2"/>
        <v>152843658</v>
      </c>
      <c r="G89" s="286">
        <f t="shared" si="3"/>
        <v>5.5205485825502031E-5</v>
      </c>
    </row>
    <row r="90" spans="2:7" s="88" customFormat="1" ht="17.25" customHeight="1" x14ac:dyDescent="0.2">
      <c r="B90" s="9" t="s">
        <v>16</v>
      </c>
      <c r="C90" s="65">
        <f>SUM('Presupuesto detallado'!C90:E90)</f>
        <v>0</v>
      </c>
      <c r="D90" s="65">
        <f>SUM('Presupuesto detallado'!F90:O90)</f>
        <v>776527105.25</v>
      </c>
      <c r="E90" s="65">
        <f>SUM('Presupuesto detallado'!P90:U90)</f>
        <v>156909322.25</v>
      </c>
      <c r="F90" s="65">
        <f t="shared" si="2"/>
        <v>933436427.5</v>
      </c>
      <c r="G90" s="285">
        <f t="shared" si="3"/>
        <v>3.3714720088260714E-4</v>
      </c>
    </row>
    <row r="91" spans="2:7" ht="36" x14ac:dyDescent="0.2">
      <c r="B91" s="12" t="s">
        <v>435</v>
      </c>
      <c r="C91" s="85">
        <f>SUM('Presupuesto detallado'!C91:E91)</f>
        <v>0</v>
      </c>
      <c r="D91" s="85">
        <f>SUM('Presupuesto detallado'!F91:O91)</f>
        <v>148889816.25</v>
      </c>
      <c r="E91" s="85">
        <f>SUM('Presupuesto detallado'!P91:U91)</f>
        <v>0</v>
      </c>
      <c r="F91" s="85">
        <f t="shared" si="2"/>
        <v>148889816.25</v>
      </c>
      <c r="G91" s="286">
        <f t="shared" si="3"/>
        <v>5.3777400698895712E-5</v>
      </c>
    </row>
    <row r="92" spans="2:7" ht="36" x14ac:dyDescent="0.2">
      <c r="B92" s="12" t="s">
        <v>540</v>
      </c>
      <c r="C92" s="85">
        <f>SUM('Presupuesto detallado'!C92:E92)</f>
        <v>0</v>
      </c>
      <c r="D92" s="85">
        <f>SUM('Presupuesto detallado'!F92:O92)</f>
        <v>126597779</v>
      </c>
      <c r="E92" s="85">
        <f>SUM('Presupuesto detallado'!P92:U92)</f>
        <v>31649444.75</v>
      </c>
      <c r="F92" s="85">
        <f t="shared" si="2"/>
        <v>158247223.75</v>
      </c>
      <c r="G92" s="286">
        <f t="shared" si="3"/>
        <v>5.7157195672820613E-5</v>
      </c>
    </row>
    <row r="93" spans="2:7" ht="27.75" customHeight="1" x14ac:dyDescent="0.2">
      <c r="B93" s="12" t="s">
        <v>436</v>
      </c>
      <c r="C93" s="85">
        <f>SUM('Presupuesto detallado'!C93:E93)</f>
        <v>0</v>
      </c>
      <c r="D93" s="85">
        <f>SUM('Presupuesto detallado'!F93:O93)</f>
        <v>302519755</v>
      </c>
      <c r="E93" s="85">
        <f>SUM('Presupuesto detallado'!P93:U93)</f>
        <v>75629938.75</v>
      </c>
      <c r="F93" s="85">
        <f t="shared" si="2"/>
        <v>378149693.75</v>
      </c>
      <c r="G93" s="286">
        <f t="shared" si="3"/>
        <v>1.3658360334606464E-4</v>
      </c>
    </row>
    <row r="94" spans="2:7" ht="49.5" customHeight="1" x14ac:dyDescent="0.2">
      <c r="B94" s="12" t="s">
        <v>434</v>
      </c>
      <c r="C94" s="85">
        <f>SUM('Presupuesto detallado'!C94:E94)</f>
        <v>0</v>
      </c>
      <c r="D94" s="85">
        <f>SUM('Presupuesto detallado'!F94:O94)</f>
        <v>198519755</v>
      </c>
      <c r="E94" s="85">
        <f>SUM('Presupuesto detallado'!P94:U94)</f>
        <v>49629938.75</v>
      </c>
      <c r="F94" s="85">
        <f t="shared" si="2"/>
        <v>248149693.75</v>
      </c>
      <c r="G94" s="286">
        <f t="shared" si="3"/>
        <v>8.9629001164826189E-5</v>
      </c>
    </row>
    <row r="95" spans="2:7" s="89" customFormat="1" ht="15.75" customHeight="1" x14ac:dyDescent="0.25">
      <c r="B95" s="8" t="s">
        <v>17</v>
      </c>
      <c r="C95" s="179">
        <f>SUM('Presupuesto detallado'!C95:E95)</f>
        <v>1749255879</v>
      </c>
      <c r="D95" s="179">
        <f>SUM('Presupuesto detallado'!F95:O95)</f>
        <v>6041259627</v>
      </c>
      <c r="E95" s="179">
        <f>SUM('Presupuesto detallado'!P95:U95)</f>
        <v>3333418824</v>
      </c>
      <c r="F95" s="179">
        <f t="shared" si="2"/>
        <v>11123934330</v>
      </c>
      <c r="G95" s="284">
        <f t="shared" si="3"/>
        <v>4.0178454704259334E-3</v>
      </c>
    </row>
    <row r="96" spans="2:7" s="89" customFormat="1" ht="15.75" customHeight="1" x14ac:dyDescent="0.25">
      <c r="B96" s="9" t="s">
        <v>18</v>
      </c>
      <c r="C96" s="65">
        <f>SUM('Presupuesto detallado'!C96:E96)</f>
        <v>333006903</v>
      </c>
      <c r="D96" s="65">
        <f>SUM('Presupuesto detallado'!F96:O96)</f>
        <v>333006903</v>
      </c>
      <c r="E96" s="65">
        <f>SUM('Presupuesto detallado'!P96:U96)</f>
        <v>0</v>
      </c>
      <c r="F96" s="65">
        <f t="shared" si="2"/>
        <v>666013806</v>
      </c>
      <c r="G96" s="285">
        <f t="shared" si="3"/>
        <v>2.4055702544571172E-4</v>
      </c>
    </row>
    <row r="97" spans="2:7" ht="24" x14ac:dyDescent="0.2">
      <c r="B97" s="12" t="s">
        <v>439</v>
      </c>
      <c r="C97" s="85">
        <f>SUM('Presupuesto detallado'!C97:E97)</f>
        <v>158112712.59999999</v>
      </c>
      <c r="D97" s="85">
        <f>SUM('Presupuesto detallado'!F97:O97)</f>
        <v>158112712.59999999</v>
      </c>
      <c r="E97" s="85">
        <f>SUM('Presupuesto detallado'!P97:U97)</f>
        <v>0</v>
      </c>
      <c r="F97" s="85">
        <f t="shared" si="2"/>
        <v>316225425.19999999</v>
      </c>
      <c r="G97" s="286">
        <f t="shared" si="3"/>
        <v>1.1421722338353059E-4</v>
      </c>
    </row>
    <row r="98" spans="2:7" ht="24" x14ac:dyDescent="0.2">
      <c r="B98" s="12" t="s">
        <v>440</v>
      </c>
      <c r="C98" s="85">
        <f>SUM('Presupuesto detallado'!C98:E98)</f>
        <v>119603579.59999999</v>
      </c>
      <c r="D98" s="85">
        <f>SUM('Presupuesto detallado'!F98:O98)</f>
        <v>119603579.59999999</v>
      </c>
      <c r="E98" s="85">
        <f>SUM('Presupuesto detallado'!P98:U98)</f>
        <v>0</v>
      </c>
      <c r="F98" s="85">
        <f t="shared" si="2"/>
        <v>239207159.19999999</v>
      </c>
      <c r="G98" s="286">
        <f t="shared" si="3"/>
        <v>8.6399053839539798E-5</v>
      </c>
    </row>
    <row r="99" spans="2:7" ht="30.75" customHeight="1" x14ac:dyDescent="0.2">
      <c r="B99" s="12" t="s">
        <v>441</v>
      </c>
      <c r="C99" s="85">
        <f>SUM('Presupuesto detallado'!C99:E99)</f>
        <v>55290610.799999997</v>
      </c>
      <c r="D99" s="85">
        <f>SUM('Presupuesto detallado'!F99:O99)</f>
        <v>55290610.799999997</v>
      </c>
      <c r="E99" s="85">
        <f>SUM('Presupuesto detallado'!P99:U99)</f>
        <v>0</v>
      </c>
      <c r="F99" s="85">
        <f t="shared" si="2"/>
        <v>110581221.59999999</v>
      </c>
      <c r="G99" s="286">
        <f t="shared" si="3"/>
        <v>3.9940748222641329E-5</v>
      </c>
    </row>
    <row r="100" spans="2:7" s="88" customFormat="1" ht="23.25" customHeight="1" x14ac:dyDescent="0.2">
      <c r="B100" s="9" t="s">
        <v>19</v>
      </c>
      <c r="C100" s="65">
        <f>SUM('Presupuesto detallado'!C100:E100)</f>
        <v>1416248976</v>
      </c>
      <c r="D100" s="65">
        <f>SUM('Presupuesto detallado'!F100:O100)</f>
        <v>5708252724</v>
      </c>
      <c r="E100" s="65">
        <f>SUM('Presupuesto detallado'!P100:U100)</f>
        <v>3333418824</v>
      </c>
      <c r="F100" s="65">
        <f t="shared" si="2"/>
        <v>10457920524</v>
      </c>
      <c r="G100" s="285">
        <f t="shared" si="3"/>
        <v>3.7772884449802212E-3</v>
      </c>
    </row>
    <row r="101" spans="2:7" ht="24" x14ac:dyDescent="0.2">
      <c r="B101" s="12" t="s">
        <v>730</v>
      </c>
      <c r="C101" s="85">
        <f>SUM('Presupuesto detallado'!C101:E101)</f>
        <v>305109368</v>
      </c>
      <c r="D101" s="85">
        <f>SUM('Presupuesto detallado'!F101:O101)</f>
        <v>152554684</v>
      </c>
      <c r="E101" s="85">
        <f>SUM('Presupuesto detallado'!P101:U101)</f>
        <v>0</v>
      </c>
      <c r="F101" s="85">
        <f t="shared" si="2"/>
        <v>457664052</v>
      </c>
      <c r="G101" s="286">
        <f t="shared" si="3"/>
        <v>1.6530333457164328E-4</v>
      </c>
    </row>
    <row r="102" spans="2:7" x14ac:dyDescent="0.2">
      <c r="B102" s="12" t="s">
        <v>446</v>
      </c>
      <c r="C102" s="85">
        <f>SUM('Presupuesto detallado'!C102:E102)</f>
        <v>1111139608</v>
      </c>
      <c r="D102" s="85">
        <f>SUM('Presupuesto detallado'!F102:O102)</f>
        <v>5555698040</v>
      </c>
      <c r="E102" s="85">
        <f>SUM('Presupuesto detallado'!P102:U102)</f>
        <v>3333418824</v>
      </c>
      <c r="F102" s="85">
        <f t="shared" si="2"/>
        <v>10000256472</v>
      </c>
      <c r="G102" s="286">
        <f t="shared" si="3"/>
        <v>3.611985110408578E-3</v>
      </c>
    </row>
    <row r="103" spans="2:7" s="89" customFormat="1" ht="15" customHeight="1" x14ac:dyDescent="0.25">
      <c r="B103" s="8" t="s">
        <v>20</v>
      </c>
      <c r="C103" s="179">
        <f>SUM('Presupuesto detallado'!C103:E103)</f>
        <v>721100334.20000005</v>
      </c>
      <c r="D103" s="179">
        <f>SUM('Presupuesto detallado'!F103:O103)</f>
        <v>395070713062.19995</v>
      </c>
      <c r="E103" s="179">
        <f>SUM('Presupuesto detallado'!P103:U103)</f>
        <v>708845145.5999999</v>
      </c>
      <c r="F103" s="179">
        <f t="shared" si="2"/>
        <v>396500658541.99994</v>
      </c>
      <c r="G103" s="284">
        <f t="shared" si="3"/>
        <v>0.14321177451106673</v>
      </c>
    </row>
    <row r="104" spans="2:7" s="89" customFormat="1" ht="24" x14ac:dyDescent="0.25">
      <c r="B104" s="9" t="s">
        <v>21</v>
      </c>
      <c r="C104" s="65">
        <f>SUM('Presupuesto detallado'!C104:E104)</f>
        <v>721100334.20000005</v>
      </c>
      <c r="D104" s="65">
        <f>SUM('Presupuesto detallado'!F104:O104)</f>
        <v>1884741198.2</v>
      </c>
      <c r="E104" s="65">
        <f>SUM('Presupuesto detallado'!P104:U104)</f>
        <v>229728648.59999996</v>
      </c>
      <c r="F104" s="65">
        <f t="shared" si="2"/>
        <v>2835570181</v>
      </c>
      <c r="G104" s="285">
        <f t="shared" si="3"/>
        <v>1.0241774600449024E-3</v>
      </c>
    </row>
    <row r="105" spans="2:7" ht="24" x14ac:dyDescent="0.2">
      <c r="B105" s="12" t="s">
        <v>541</v>
      </c>
      <c r="C105" s="85">
        <f>SUM('Presupuesto detallado'!C105:E105)</f>
        <v>359943788.19999999</v>
      </c>
      <c r="D105" s="85">
        <f>SUM('Presupuesto detallado'!F105:O105)</f>
        <v>359943788.19999999</v>
      </c>
      <c r="E105" s="85">
        <f>SUM('Presupuesto detallado'!P105:U105)</f>
        <v>0</v>
      </c>
      <c r="F105" s="85">
        <f t="shared" si="2"/>
        <v>719887576.39999998</v>
      </c>
      <c r="G105" s="286">
        <f t="shared" si="3"/>
        <v>2.6001565203906076E-4</v>
      </c>
    </row>
    <row r="106" spans="2:7" ht="27" customHeight="1" x14ac:dyDescent="0.2">
      <c r="B106" s="12" t="s">
        <v>448</v>
      </c>
      <c r="C106" s="85">
        <f>SUM('Presupuesto detallado'!C106:E106)</f>
        <v>0</v>
      </c>
      <c r="D106" s="85">
        <f>SUM('Presupuesto detallado'!F106:O106)</f>
        <v>183412389.59999999</v>
      </c>
      <c r="E106" s="85">
        <f>SUM('Presupuesto detallado'!P106:U106)</f>
        <v>61137463.199999996</v>
      </c>
      <c r="F106" s="85">
        <f t="shared" si="2"/>
        <v>244549852.79999998</v>
      </c>
      <c r="G106" s="286">
        <f t="shared" si="3"/>
        <v>8.832877732080325E-5</v>
      </c>
    </row>
    <row r="107" spans="2:7" ht="39.75" customHeight="1" x14ac:dyDescent="0.2">
      <c r="B107" s="12" t="s">
        <v>449</v>
      </c>
      <c r="C107" s="85">
        <f>SUM('Presupuesto detallado'!C107:E107)</f>
        <v>0</v>
      </c>
      <c r="D107" s="85">
        <f>SUM('Presupuesto detallado'!F107:O107)</f>
        <v>168591185.39999998</v>
      </c>
      <c r="E107" s="85">
        <f>SUM('Presupuesto detallado'!P107:U107)</f>
        <v>168591185.39999998</v>
      </c>
      <c r="F107" s="85">
        <f t="shared" si="2"/>
        <v>337182370.79999995</v>
      </c>
      <c r="G107" s="286">
        <f t="shared" si="3"/>
        <v>1.2178664679569869E-4</v>
      </c>
    </row>
    <row r="108" spans="2:7" ht="40.5" customHeight="1" x14ac:dyDescent="0.2">
      <c r="B108" s="12" t="s">
        <v>450</v>
      </c>
      <c r="C108" s="85">
        <f>SUM('Presupuesto detallado'!C108:E108)</f>
        <v>126597779</v>
      </c>
      <c r="D108" s="85">
        <f>SUM('Presupuesto detallado'!F108:O108)</f>
        <v>0</v>
      </c>
      <c r="E108" s="85">
        <f>SUM('Presupuesto detallado'!P108:U108)</f>
        <v>0</v>
      </c>
      <c r="F108" s="85">
        <f t="shared" si="2"/>
        <v>126597779</v>
      </c>
      <c r="G108" s="286">
        <f t="shared" si="3"/>
        <v>4.5725756538256487E-5</v>
      </c>
    </row>
    <row r="109" spans="2:7" ht="36" x14ac:dyDescent="0.2">
      <c r="B109" s="12" t="s">
        <v>451</v>
      </c>
      <c r="C109" s="85">
        <f>SUM('Presupuesto detallado'!C109:E109)</f>
        <v>234558767</v>
      </c>
      <c r="D109" s="85">
        <f>SUM('Presupuesto detallado'!F109:O109)</f>
        <v>1172793835</v>
      </c>
      <c r="E109" s="85">
        <f>SUM('Presupuesto detallado'!P109:U109)</f>
        <v>0</v>
      </c>
      <c r="F109" s="85">
        <f t="shared" si="2"/>
        <v>1407352602</v>
      </c>
      <c r="G109" s="286">
        <f t="shared" si="3"/>
        <v>5.0832062735108312E-4</v>
      </c>
    </row>
    <row r="110" spans="2:7" s="88" customFormat="1" x14ac:dyDescent="0.2">
      <c r="B110" s="9" t="s">
        <v>22</v>
      </c>
      <c r="C110" s="65">
        <f>SUM('Presupuesto detallado'!C110:E110)</f>
        <v>0</v>
      </c>
      <c r="D110" s="65">
        <f>SUM('Presupuesto detallado'!F110:O110)</f>
        <v>393185971864</v>
      </c>
      <c r="E110" s="65">
        <f>SUM('Presupuesto detallado'!P110:U110)</f>
        <v>479116497</v>
      </c>
      <c r="F110" s="65">
        <f t="shared" si="2"/>
        <v>393665088361</v>
      </c>
      <c r="G110" s="285">
        <f t="shared" si="3"/>
        <v>0.14218759705102182</v>
      </c>
    </row>
    <row r="111" spans="2:7" ht="24" x14ac:dyDescent="0.2">
      <c r="B111" s="12" t="s">
        <v>459</v>
      </c>
      <c r="C111" s="85">
        <f>SUM('Presupuesto detallado'!C111:E111)</f>
        <v>0</v>
      </c>
      <c r="D111" s="85">
        <f>SUM('Presupuesto detallado'!F111:O111)</f>
        <v>749947627.5</v>
      </c>
      <c r="E111" s="85">
        <f>SUM('Presupuesto detallado'!P111:U111)</f>
        <v>0</v>
      </c>
      <c r="F111" s="85">
        <f t="shared" si="2"/>
        <v>749947627.5</v>
      </c>
      <c r="G111" s="286">
        <f t="shared" si="3"/>
        <v>2.7087301927712388E-4</v>
      </c>
    </row>
    <row r="112" spans="2:7" ht="28.5" customHeight="1" x14ac:dyDescent="0.2">
      <c r="B112" s="12" t="s">
        <v>460</v>
      </c>
      <c r="C112" s="85">
        <f>SUM('Presupuesto detallado'!C112:E112)</f>
        <v>0</v>
      </c>
      <c r="D112" s="85">
        <f>SUM('Presupuesto detallado'!F112:O112)</f>
        <v>812460915</v>
      </c>
      <c r="E112" s="85">
        <f>SUM('Presupuesto detallado'!P112:U112)</f>
        <v>180546870</v>
      </c>
      <c r="F112" s="85">
        <f t="shared" si="2"/>
        <v>993007785</v>
      </c>
      <c r="G112" s="286">
        <f t="shared" si="3"/>
        <v>3.5866373467344432E-4</v>
      </c>
    </row>
    <row r="113" spans="2:7" ht="27" customHeight="1" x14ac:dyDescent="0.2">
      <c r="B113" s="12" t="s">
        <v>461</v>
      </c>
      <c r="C113" s="85">
        <f>SUM('Presupuesto detallado'!C113:E113)</f>
        <v>0</v>
      </c>
      <c r="D113" s="85">
        <f>SUM('Presupuesto detallado'!F113:O113)</f>
        <v>533563321.49999994</v>
      </c>
      <c r="E113" s="85">
        <f>SUM('Presupuesto detallado'!P113:U113)</f>
        <v>118569626.99999999</v>
      </c>
      <c r="F113" s="85">
        <f t="shared" si="2"/>
        <v>652132948.49999988</v>
      </c>
      <c r="G113" s="286">
        <f t="shared" si="3"/>
        <v>2.3554340896996583E-4</v>
      </c>
    </row>
    <row r="114" spans="2:7" ht="29.25" customHeight="1" x14ac:dyDescent="0.2">
      <c r="B114" s="12" t="s">
        <v>462</v>
      </c>
      <c r="C114" s="85">
        <f>SUM('Presupuesto detallado'!C114:E114)</f>
        <v>0</v>
      </c>
      <c r="D114" s="85">
        <f>SUM('Presupuesto detallado'!F114:O114)</f>
        <v>390280000000</v>
      </c>
      <c r="E114" s="85">
        <f>SUM('Presupuesto detallado'!P114:U114)</f>
        <v>0</v>
      </c>
      <c r="F114" s="85">
        <f t="shared" si="2"/>
        <v>390280000000</v>
      </c>
      <c r="G114" s="286">
        <f t="shared" si="3"/>
        <v>0.1409649395330288</v>
      </c>
    </row>
    <row r="115" spans="2:7" ht="26.25" customHeight="1" x14ac:dyDescent="0.2">
      <c r="B115" s="12" t="s">
        <v>463</v>
      </c>
      <c r="C115" s="85">
        <f>SUM('Presupuesto detallado'!C115:E115)</f>
        <v>0</v>
      </c>
      <c r="D115" s="85">
        <f>SUM('Presupuesto detallado'!F115:O115)</f>
        <v>810000000</v>
      </c>
      <c r="E115" s="85">
        <f>SUM('Presupuesto detallado'!P115:U115)</f>
        <v>180000000</v>
      </c>
      <c r="F115" s="85">
        <f t="shared" si="2"/>
        <v>990000000</v>
      </c>
      <c r="G115" s="286">
        <f t="shared" si="3"/>
        <v>3.5757735507250822E-4</v>
      </c>
    </row>
    <row r="116" spans="2:7" s="88" customFormat="1" ht="16.5" customHeight="1" x14ac:dyDescent="0.2">
      <c r="B116" s="8" t="s">
        <v>23</v>
      </c>
      <c r="C116" s="180">
        <f>SUM('Presupuesto detallado'!C116:E116)</f>
        <v>4617136224</v>
      </c>
      <c r="D116" s="180">
        <f>SUM('Presupuesto detallado'!F116:O116)</f>
        <v>25392010374.5</v>
      </c>
      <c r="E116" s="180">
        <f>SUM('Presupuesto detallado'!P116:U116)</f>
        <v>11272127508.5</v>
      </c>
      <c r="F116" s="180">
        <f t="shared" si="2"/>
        <v>41281274107</v>
      </c>
      <c r="G116" s="288">
        <f t="shared" si="3"/>
        <v>1.4910352332529575E-2</v>
      </c>
    </row>
    <row r="117" spans="2:7" s="88" customFormat="1" ht="15.75" customHeight="1" x14ac:dyDescent="0.2">
      <c r="B117" s="9" t="s">
        <v>24</v>
      </c>
      <c r="C117" s="65">
        <f>SUM('Presupuesto detallado'!C117:E117)</f>
        <v>4175240452</v>
      </c>
      <c r="D117" s="65">
        <f>SUM('Presupuesto detallado'!F117:O117)</f>
        <v>15113160468.5</v>
      </c>
      <c r="E117" s="65">
        <f>SUM('Presupuesto detallado'!P117:U117)</f>
        <v>6012127508.5</v>
      </c>
      <c r="F117" s="65">
        <f t="shared" si="2"/>
        <v>25300528429</v>
      </c>
      <c r="G117" s="285">
        <f t="shared" si="3"/>
        <v>9.1382788258369922E-3</v>
      </c>
    </row>
    <row r="118" spans="2:7" ht="51" customHeight="1" x14ac:dyDescent="0.2">
      <c r="B118" s="12" t="s">
        <v>465</v>
      </c>
      <c r="C118" s="85">
        <f>SUM('Presupuesto detallado'!C118:E118)</f>
        <v>619418449</v>
      </c>
      <c r="D118" s="85">
        <f>SUM('Presupuesto detallado'!F118:O118)</f>
        <v>126597779</v>
      </c>
      <c r="E118" s="85">
        <f>SUM('Presupuesto detallado'!P118:U118)</f>
        <v>126597779</v>
      </c>
      <c r="F118" s="85">
        <f t="shared" si="2"/>
        <v>872614007</v>
      </c>
      <c r="G118" s="286">
        <f t="shared" si="3"/>
        <v>3.1517879658816484E-4</v>
      </c>
    </row>
    <row r="119" spans="2:7" ht="40.5" customHeight="1" x14ac:dyDescent="0.2">
      <c r="B119" s="12" t="s">
        <v>466</v>
      </c>
      <c r="C119" s="85">
        <f>SUM('Presupuesto detallado'!C119:E119)</f>
        <v>528005379</v>
      </c>
      <c r="D119" s="85">
        <f>SUM('Presupuesto detallado'!F119:O119)</f>
        <v>0</v>
      </c>
      <c r="E119" s="85">
        <f>SUM('Presupuesto detallado'!P119:U119)</f>
        <v>0</v>
      </c>
      <c r="F119" s="85">
        <f t="shared" si="2"/>
        <v>528005379</v>
      </c>
      <c r="G119" s="286">
        <f t="shared" si="3"/>
        <v>1.9070986554230027E-4</v>
      </c>
    </row>
    <row r="120" spans="2:7" ht="28.5" customHeight="1" x14ac:dyDescent="0.2">
      <c r="B120" s="12" t="s">
        <v>467</v>
      </c>
      <c r="C120" s="85">
        <f>SUM('Presupuesto detallado'!C120:E120)</f>
        <v>828005379</v>
      </c>
      <c r="D120" s="85">
        <f>SUM('Presupuesto detallado'!F120:O120)</f>
        <v>1242008068.5</v>
      </c>
      <c r="E120" s="85">
        <f>SUM('Presupuesto detallado'!P120:U120)</f>
        <v>0</v>
      </c>
      <c r="F120" s="85">
        <f t="shared" si="2"/>
        <v>2070013447.5</v>
      </c>
      <c r="G120" s="286">
        <f t="shared" si="3"/>
        <v>7.4766659951674172E-4</v>
      </c>
    </row>
    <row r="121" spans="2:7" ht="27.75" customHeight="1" x14ac:dyDescent="0.2">
      <c r="B121" s="12" t="s">
        <v>468</v>
      </c>
      <c r="C121" s="85">
        <f>SUM('Presupuesto detallado'!C121:E121)</f>
        <v>268634311</v>
      </c>
      <c r="D121" s="85">
        <f>SUM('Presupuesto detallado'!F121:O121)</f>
        <v>268634311</v>
      </c>
      <c r="E121" s="85">
        <f>SUM('Presupuesto detallado'!P121:U121)</f>
        <v>134317155.5</v>
      </c>
      <c r="F121" s="85">
        <f t="shared" si="2"/>
        <v>671585777.5</v>
      </c>
      <c r="G121" s="286">
        <f t="shared" si="3"/>
        <v>2.4256956163915555E-4</v>
      </c>
    </row>
    <row r="122" spans="2:7" ht="24" x14ac:dyDescent="0.2">
      <c r="B122" s="12" t="s">
        <v>469</v>
      </c>
      <c r="C122" s="85">
        <f>SUM('Presupuesto detallado'!C122:E122)</f>
        <v>1931176934</v>
      </c>
      <c r="D122" s="85">
        <f>SUM('Presupuesto detallado'!F122:O122)</f>
        <v>13475920310</v>
      </c>
      <c r="E122" s="85">
        <f>SUM('Presupuesto detallado'!P122:U122)</f>
        <v>5751212574</v>
      </c>
      <c r="F122" s="85">
        <f t="shared" si="2"/>
        <v>21158309818</v>
      </c>
      <c r="G122" s="286">
        <f t="shared" si="3"/>
        <v>7.6421540025506289E-3</v>
      </c>
    </row>
    <row r="123" spans="2:7" s="88" customFormat="1" ht="17.25" customHeight="1" x14ac:dyDescent="0.2">
      <c r="B123" s="9" t="s">
        <v>25</v>
      </c>
      <c r="C123" s="65">
        <f>SUM('Presupuesto detallado'!C123:E123)</f>
        <v>441895772</v>
      </c>
      <c r="D123" s="65">
        <f>SUM('Presupuesto detallado'!F123:O123)</f>
        <v>10278849906</v>
      </c>
      <c r="E123" s="65">
        <f>SUM('Presupuesto detallado'!P123:U123)</f>
        <v>5260000000</v>
      </c>
      <c r="F123" s="65">
        <f t="shared" si="2"/>
        <v>15980745678</v>
      </c>
      <c r="G123" s="285">
        <f t="shared" si="3"/>
        <v>5.7720735066925828E-3</v>
      </c>
    </row>
    <row r="124" spans="2:7" ht="27" customHeight="1" x14ac:dyDescent="0.2">
      <c r="B124" s="12" t="s">
        <v>475</v>
      </c>
      <c r="C124" s="85">
        <f>SUM('Presupuesto detallado'!C124:E124)</f>
        <v>181895772</v>
      </c>
      <c r="D124" s="85">
        <f>SUM('Presupuesto detallado'!F124:O124)</f>
        <v>120000000</v>
      </c>
      <c r="E124" s="85">
        <f>SUM('Presupuesto detallado'!P124:U124)</f>
        <v>40000000</v>
      </c>
      <c r="F124" s="85">
        <f t="shared" si="2"/>
        <v>341895772</v>
      </c>
      <c r="G124" s="286">
        <f t="shared" si="3"/>
        <v>1.2348907662851851E-4</v>
      </c>
    </row>
    <row r="125" spans="2:7" ht="27.75" customHeight="1" x14ac:dyDescent="0.2">
      <c r="B125" s="12" t="s">
        <v>476</v>
      </c>
      <c r="C125" s="85">
        <f>SUM('Presupuesto detallado'!C125:E125)</f>
        <v>260000000</v>
      </c>
      <c r="D125" s="85">
        <f>SUM('Presupuesto detallado'!F125:O125)</f>
        <v>440000000</v>
      </c>
      <c r="E125" s="85">
        <f>SUM('Presupuesto detallado'!P125:U125)</f>
        <v>120000000</v>
      </c>
      <c r="F125" s="85">
        <f t="shared" si="2"/>
        <v>820000000</v>
      </c>
      <c r="G125" s="286">
        <f t="shared" si="3"/>
        <v>2.9617518298935026E-4</v>
      </c>
    </row>
    <row r="126" spans="2:7" ht="27" customHeight="1" x14ac:dyDescent="0.2">
      <c r="B126" s="12" t="s">
        <v>477</v>
      </c>
      <c r="C126" s="85">
        <f>SUM('Presupuesto detallado'!C126:E126)</f>
        <v>0</v>
      </c>
      <c r="D126" s="85">
        <f>SUM('Presupuesto detallado'!F126:O126)</f>
        <v>360000000</v>
      </c>
      <c r="E126" s="85">
        <f>SUM('Presupuesto detallado'!P126:U126)</f>
        <v>0</v>
      </c>
      <c r="F126" s="85">
        <f t="shared" si="2"/>
        <v>360000000</v>
      </c>
      <c r="G126" s="286">
        <f t="shared" si="3"/>
        <v>1.300281291172757E-4</v>
      </c>
    </row>
    <row r="127" spans="2:7" ht="26.25" customHeight="1" x14ac:dyDescent="0.2">
      <c r="B127" s="12" t="s">
        <v>478</v>
      </c>
      <c r="C127" s="85">
        <f>SUM('Presupuesto detallado'!C127:E127)</f>
        <v>0</v>
      </c>
      <c r="D127" s="85">
        <f>SUM('Presupuesto detallado'!F127:O127)</f>
        <v>858849906</v>
      </c>
      <c r="E127" s="85">
        <f>SUM('Presupuesto detallado'!P127:U127)</f>
        <v>0</v>
      </c>
      <c r="F127" s="85">
        <f t="shared" si="2"/>
        <v>858849906</v>
      </c>
      <c r="G127" s="286">
        <f t="shared" si="3"/>
        <v>3.1020735130480031E-4</v>
      </c>
    </row>
    <row r="128" spans="2:7" ht="51.75" customHeight="1" x14ac:dyDescent="0.2">
      <c r="B128" s="12" t="s">
        <v>479</v>
      </c>
      <c r="C128" s="85">
        <f>SUM('Presupuesto detallado'!C128:E128)</f>
        <v>0</v>
      </c>
      <c r="D128" s="85">
        <f>SUM('Presupuesto detallado'!F128:O128)</f>
        <v>8500000000</v>
      </c>
      <c r="E128" s="85">
        <f>SUM('Presupuesto detallado'!P128:U128)</f>
        <v>5100000000</v>
      </c>
      <c r="F128" s="85">
        <f t="shared" si="2"/>
        <v>13600000000</v>
      </c>
      <c r="G128" s="286">
        <f t="shared" si="3"/>
        <v>4.9121737666526378E-3</v>
      </c>
    </row>
    <row r="129" spans="2:7" s="88" customFormat="1" ht="14.25" customHeight="1" x14ac:dyDescent="0.2">
      <c r="B129" s="8" t="s">
        <v>26</v>
      </c>
      <c r="C129" s="180">
        <f>SUM('Presupuesto detallado'!C129:E129)</f>
        <v>1202547523.5</v>
      </c>
      <c r="D129" s="180">
        <f>SUM('Presupuesto detallado'!F129:O129)</f>
        <v>9580595781.875</v>
      </c>
      <c r="E129" s="180">
        <f>SUM('Presupuesto detallado'!P129:U129)</f>
        <v>4384584121.75</v>
      </c>
      <c r="F129" s="180">
        <f t="shared" si="2"/>
        <v>15167727427.125</v>
      </c>
      <c r="G129" s="288">
        <f t="shared" si="3"/>
        <v>5.47842005641626E-3</v>
      </c>
    </row>
    <row r="130" spans="2:7" s="88" customFormat="1" ht="17.25" customHeight="1" x14ac:dyDescent="0.2">
      <c r="B130" s="9" t="s">
        <v>27</v>
      </c>
      <c r="C130" s="65">
        <f>SUM('Presupuesto detallado'!C130:E130)</f>
        <v>1101114895.5</v>
      </c>
      <c r="D130" s="65">
        <f>SUM('Presupuesto detallado'!F130:O130)</f>
        <v>6023946819.875</v>
      </c>
      <c r="E130" s="65">
        <f>SUM('Presupuesto detallado'!P130:U130)</f>
        <v>3281718865.75</v>
      </c>
      <c r="F130" s="65">
        <f t="shared" si="2"/>
        <v>10406780581.125</v>
      </c>
      <c r="G130" s="285">
        <f t="shared" si="3"/>
        <v>3.7588172474935532E-3</v>
      </c>
    </row>
    <row r="131" spans="2:7" ht="24" x14ac:dyDescent="0.2">
      <c r="B131" s="12" t="s">
        <v>487</v>
      </c>
      <c r="C131" s="85">
        <f>SUM('Presupuesto detallado'!C131:E131)</f>
        <v>208000902</v>
      </c>
      <c r="D131" s="85">
        <f>SUM('Presupuesto detallado'!F131:O131)</f>
        <v>0</v>
      </c>
      <c r="E131" s="85">
        <f>SUM('Presupuesto detallado'!P131:U131)</f>
        <v>0</v>
      </c>
      <c r="F131" s="85">
        <f t="shared" si="2"/>
        <v>208000902</v>
      </c>
      <c r="G131" s="286">
        <f t="shared" si="3"/>
        <v>7.5127689282682812E-5</v>
      </c>
    </row>
    <row r="132" spans="2:7" ht="24" x14ac:dyDescent="0.2">
      <c r="B132" s="12" t="s">
        <v>488</v>
      </c>
      <c r="C132" s="85">
        <f>SUM('Presupuesto detallado'!C132:E132)</f>
        <v>706814202</v>
      </c>
      <c r="D132" s="85">
        <f>SUM('Presupuesto detallado'!F132:O132)</f>
        <v>3534071010</v>
      </c>
      <c r="E132" s="85">
        <f>SUM('Presupuesto detallado'!P132:U132)</f>
        <v>2120442606</v>
      </c>
      <c r="F132" s="85">
        <f t="shared" si="2"/>
        <v>6361327818</v>
      </c>
      <c r="G132" s="286">
        <f t="shared" si="3"/>
        <v>2.2976432079895048E-3</v>
      </c>
    </row>
    <row r="133" spans="2:7" ht="36" x14ac:dyDescent="0.2">
      <c r="B133" s="12" t="s">
        <v>489</v>
      </c>
      <c r="C133" s="85">
        <f>SUM('Presupuesto detallado'!C133:E133)</f>
        <v>186299791.5</v>
      </c>
      <c r="D133" s="85">
        <f>SUM('Presupuesto detallado'!F133:O133)</f>
        <v>372599583</v>
      </c>
      <c r="E133" s="85">
        <f>SUM('Presupuesto detallado'!P133:U133)</f>
        <v>0</v>
      </c>
      <c r="F133" s="85">
        <f t="shared" si="2"/>
        <v>558899374.5</v>
      </c>
      <c r="G133" s="286">
        <f t="shared" si="3"/>
        <v>2.018684445306962E-4</v>
      </c>
    </row>
    <row r="134" spans="2:7" ht="24" x14ac:dyDescent="0.2">
      <c r="B134" s="12" t="s">
        <v>490</v>
      </c>
      <c r="C134" s="85">
        <f>SUM('Presupuesto detallado'!C134:E134)</f>
        <v>0</v>
      </c>
      <c r="D134" s="85">
        <f>SUM('Presupuesto detallado'!F134:O134)</f>
        <v>129066719.375</v>
      </c>
      <c r="E134" s="85">
        <f>SUM('Presupuesto detallado'!P134:U134)</f>
        <v>51626687.75</v>
      </c>
      <c r="F134" s="85">
        <f t="shared" ref="F134:F159" si="4">SUM(C134:E134)</f>
        <v>180693407.125</v>
      </c>
      <c r="G134" s="286">
        <f t="shared" ref="G134:G159" si="5">+F134/$F$160</f>
        <v>6.5264515756361017E-5</v>
      </c>
    </row>
    <row r="135" spans="2:7" ht="24" x14ac:dyDescent="0.2">
      <c r="B135" s="12" t="s">
        <v>491</v>
      </c>
      <c r="C135" s="85">
        <f>SUM('Presupuesto detallado'!C135:E135)</f>
        <v>0</v>
      </c>
      <c r="D135" s="85">
        <f>SUM('Presupuesto detallado'!F135:O135)</f>
        <v>416380662.5</v>
      </c>
      <c r="E135" s="85">
        <f>SUM('Presupuesto detallado'!P135:U135)</f>
        <v>166552265</v>
      </c>
      <c r="F135" s="85">
        <f t="shared" si="4"/>
        <v>582932927.5</v>
      </c>
      <c r="G135" s="286">
        <f t="shared" si="5"/>
        <v>2.1054910545467091E-4</v>
      </c>
    </row>
    <row r="136" spans="2:7" ht="24" x14ac:dyDescent="0.2">
      <c r="B136" s="12" t="s">
        <v>492</v>
      </c>
      <c r="C136" s="85">
        <f>SUM('Presupuesto detallado'!C136:E136)</f>
        <v>0</v>
      </c>
      <c r="D136" s="85">
        <f>SUM('Presupuesto detallado'!F136:O136)</f>
        <v>832761325</v>
      </c>
      <c r="E136" s="85">
        <f>SUM('Presupuesto detallado'!P136:U136)</f>
        <v>499656795</v>
      </c>
      <c r="F136" s="85">
        <f t="shared" si="4"/>
        <v>1332418120</v>
      </c>
      <c r="G136" s="286">
        <f t="shared" si="5"/>
        <v>4.812550981821049E-4</v>
      </c>
    </row>
    <row r="137" spans="2:7" ht="24" x14ac:dyDescent="0.2">
      <c r="B137" s="12" t="s">
        <v>493</v>
      </c>
      <c r="C137" s="85">
        <f>SUM('Presupuesto detallado'!C137:E137)</f>
        <v>0</v>
      </c>
      <c r="D137" s="85">
        <f>SUM('Presupuesto detallado'!F137:O137)</f>
        <v>739067520</v>
      </c>
      <c r="E137" s="85">
        <f>SUM('Presupuesto detallado'!P137:U137)</f>
        <v>443440512</v>
      </c>
      <c r="F137" s="85">
        <f t="shared" si="4"/>
        <v>1182508032</v>
      </c>
      <c r="G137" s="286">
        <f t="shared" si="5"/>
        <v>4.2710918629753226E-4</v>
      </c>
    </row>
    <row r="138" spans="2:7" s="88" customFormat="1" ht="17.25" customHeight="1" x14ac:dyDescent="0.2">
      <c r="B138" s="9" t="s">
        <v>28</v>
      </c>
      <c r="C138" s="65">
        <f>SUM('Presupuesto detallado'!C138:E138)</f>
        <v>101432628</v>
      </c>
      <c r="D138" s="65">
        <f>SUM('Presupuesto detallado'!F138:O138)</f>
        <v>3556648962</v>
      </c>
      <c r="E138" s="65">
        <f>SUM('Presupuesto detallado'!P138:U138)</f>
        <v>1102865256</v>
      </c>
      <c r="F138" s="65">
        <f t="shared" si="4"/>
        <v>4760946846</v>
      </c>
      <c r="G138" s="285">
        <f t="shared" si="5"/>
        <v>1.7196028089227072E-3</v>
      </c>
    </row>
    <row r="139" spans="2:7" ht="30" customHeight="1" x14ac:dyDescent="0.2">
      <c r="B139" s="12" t="s">
        <v>498</v>
      </c>
      <c r="C139" s="85">
        <f>SUM('Presupuesto detallado'!C139:E139)</f>
        <v>0</v>
      </c>
      <c r="D139" s="85">
        <f>SUM('Presupuesto detallado'!F139:O139)</f>
        <v>1834729326</v>
      </c>
      <c r="E139" s="85">
        <f>SUM('Presupuesto detallado'!P139:U139)</f>
        <v>0</v>
      </c>
      <c r="F139" s="85">
        <f t="shared" si="4"/>
        <v>1834729326</v>
      </c>
      <c r="G139" s="286">
        <f t="shared" si="5"/>
        <v>6.6268450471216732E-4</v>
      </c>
    </row>
    <row r="140" spans="2:7" ht="27.75" customHeight="1" x14ac:dyDescent="0.2">
      <c r="B140" s="12" t="s">
        <v>499</v>
      </c>
      <c r="C140" s="85">
        <f>SUM('Presupuesto detallado'!C140:E140)</f>
        <v>0</v>
      </c>
      <c r="D140" s="85">
        <f>SUM('Presupuesto detallado'!F140:O140)</f>
        <v>1654297884</v>
      </c>
      <c r="E140" s="85">
        <f>SUM('Presupuesto detallado'!P140:U140)</f>
        <v>1102865256</v>
      </c>
      <c r="F140" s="85">
        <f t="shared" si="4"/>
        <v>2757163140</v>
      </c>
      <c r="G140" s="286">
        <f t="shared" si="5"/>
        <v>9.9585767990364809E-4</v>
      </c>
    </row>
    <row r="141" spans="2:7" ht="13.5" customHeight="1" x14ac:dyDescent="0.2">
      <c r="B141" s="12" t="s">
        <v>500</v>
      </c>
      <c r="C141" s="85">
        <f>SUM('Presupuesto detallado'!C141:E141)</f>
        <v>101432628</v>
      </c>
      <c r="D141" s="85">
        <f>SUM('Presupuesto detallado'!F141:O141)</f>
        <v>67621752</v>
      </c>
      <c r="E141" s="85">
        <f>SUM('Presupuesto detallado'!P141:U141)</f>
        <v>0</v>
      </c>
      <c r="F141" s="85">
        <f t="shared" si="4"/>
        <v>169054380</v>
      </c>
      <c r="G141" s="286">
        <f t="shared" si="5"/>
        <v>6.1060624306891653E-5</v>
      </c>
    </row>
    <row r="142" spans="2:7" s="88" customFormat="1" ht="15.75" customHeight="1" x14ac:dyDescent="0.2">
      <c r="B142" s="8" t="s">
        <v>29</v>
      </c>
      <c r="C142" s="65">
        <f>SUM('Presupuesto detallado'!C142:E142)</f>
        <v>89782914</v>
      </c>
      <c r="D142" s="65">
        <f>SUM('Presupuesto detallado'!F142:O142)</f>
        <v>5484680401.5</v>
      </c>
      <c r="E142" s="65">
        <f>SUM('Presupuesto detallado'!P142:U142)</f>
        <v>369716652</v>
      </c>
      <c r="F142" s="65">
        <f t="shared" si="4"/>
        <v>5944179967.5</v>
      </c>
      <c r="G142" s="285">
        <f t="shared" si="5"/>
        <v>2.1469738897511494E-3</v>
      </c>
    </row>
    <row r="143" spans="2:7" s="88" customFormat="1" ht="17.25" customHeight="1" x14ac:dyDescent="0.2">
      <c r="B143" s="9" t="s">
        <v>30</v>
      </c>
      <c r="C143" s="65">
        <f>SUM('Presupuesto detallado'!C143:E143)</f>
        <v>0</v>
      </c>
      <c r="D143" s="65">
        <f>SUM('Presupuesto detallado'!F143:O143)</f>
        <v>943782060</v>
      </c>
      <c r="E143" s="65">
        <f>SUM('Presupuesto detallado'!P143:U143)</f>
        <v>0</v>
      </c>
      <c r="F143" s="65">
        <f t="shared" si="4"/>
        <v>943782060</v>
      </c>
      <c r="G143" s="285">
        <f t="shared" si="5"/>
        <v>3.4088393210069014E-4</v>
      </c>
    </row>
    <row r="144" spans="2:7" ht="36" x14ac:dyDescent="0.2">
      <c r="B144" s="12" t="s">
        <v>511</v>
      </c>
      <c r="C144" s="85">
        <f>SUM('Presupuesto detallado'!C144:E144)</f>
        <v>0</v>
      </c>
      <c r="D144" s="85">
        <f>SUM('Presupuesto detallado'!F144:O144)</f>
        <v>356001804</v>
      </c>
      <c r="E144" s="85">
        <f>SUM('Presupuesto detallado'!P144:U144)</f>
        <v>0</v>
      </c>
      <c r="F144" s="85">
        <f t="shared" si="4"/>
        <v>356001804</v>
      </c>
      <c r="G144" s="286">
        <f t="shared" si="5"/>
        <v>1.2858402371248635E-4</v>
      </c>
    </row>
    <row r="145" spans="2:7" ht="29.25" customHeight="1" x14ac:dyDescent="0.2">
      <c r="B145" s="12" t="s">
        <v>512</v>
      </c>
      <c r="C145" s="85">
        <f>SUM('Presupuesto detallado'!C145:E145)</f>
        <v>0</v>
      </c>
      <c r="D145" s="85">
        <f>SUM('Presupuesto detallado'!F145:O145)</f>
        <v>287780256</v>
      </c>
      <c r="E145" s="85">
        <f>SUM('Presupuesto detallado'!P145:U145)</f>
        <v>0</v>
      </c>
      <c r="F145" s="85">
        <f t="shared" si="4"/>
        <v>287780256</v>
      </c>
      <c r="G145" s="286">
        <f t="shared" si="5"/>
        <v>1.0394313412380739E-4</v>
      </c>
    </row>
    <row r="146" spans="2:7" ht="41.25" customHeight="1" x14ac:dyDescent="0.2">
      <c r="B146" s="12" t="s">
        <v>513</v>
      </c>
      <c r="C146" s="85">
        <f>SUM('Presupuesto detallado'!C146:E146)</f>
        <v>0</v>
      </c>
      <c r="D146" s="85">
        <f>SUM('Presupuesto detallado'!F146:O146)</f>
        <v>300000000</v>
      </c>
      <c r="E146" s="85">
        <f>SUM('Presupuesto detallado'!P146:U146)</f>
        <v>0</v>
      </c>
      <c r="F146" s="85">
        <f t="shared" si="4"/>
        <v>300000000</v>
      </c>
      <c r="G146" s="286">
        <f t="shared" si="5"/>
        <v>1.0835677426439643E-4</v>
      </c>
    </row>
    <row r="147" spans="2:7" s="88" customFormat="1" x14ac:dyDescent="0.2">
      <c r="B147" s="9" t="s">
        <v>31</v>
      </c>
      <c r="C147" s="65">
        <f>SUM('Presupuesto detallado'!C147:E147)</f>
        <v>0</v>
      </c>
      <c r="D147" s="65">
        <f>SUM('Presupuesto detallado'!F147:O147)</f>
        <v>2471627387</v>
      </c>
      <c r="E147" s="65">
        <f>SUM('Presupuesto detallado'!P147:U147)</f>
        <v>0</v>
      </c>
      <c r="F147" s="65">
        <f t="shared" si="4"/>
        <v>2471627387</v>
      </c>
      <c r="G147" s="285">
        <f t="shared" si="5"/>
        <v>8.9272523612953002E-4</v>
      </c>
    </row>
    <row r="148" spans="2:7" ht="24" x14ac:dyDescent="0.2">
      <c r="B148" s="12" t="s">
        <v>542</v>
      </c>
      <c r="C148" s="85">
        <f>SUM('Presupuesto detallado'!C148:E148)</f>
        <v>0</v>
      </c>
      <c r="D148" s="85">
        <f>SUM('Presupuesto detallado'!F148:O148)</f>
        <v>367705204</v>
      </c>
      <c r="E148" s="85">
        <f>SUM('Presupuesto detallado'!P148:U148)</f>
        <v>0</v>
      </c>
      <c r="F148" s="85">
        <f t="shared" si="4"/>
        <v>367705204</v>
      </c>
      <c r="G148" s="286">
        <f t="shared" si="5"/>
        <v>1.3281116595223946E-4</v>
      </c>
    </row>
    <row r="149" spans="2:7" ht="37.5" customHeight="1" x14ac:dyDescent="0.2">
      <c r="B149" s="12" t="s">
        <v>514</v>
      </c>
      <c r="C149" s="85">
        <f>SUM('Presupuesto detallado'!C149:E149)</f>
        <v>0</v>
      </c>
      <c r="D149" s="85">
        <f>SUM('Presupuesto detallado'!F149:O149)</f>
        <v>443565828</v>
      </c>
      <c r="E149" s="85">
        <f>SUM('Presupuesto detallado'!P149:U149)</f>
        <v>0</v>
      </c>
      <c r="F149" s="85">
        <f t="shared" si="4"/>
        <v>443565828</v>
      </c>
      <c r="G149" s="286">
        <f t="shared" si="5"/>
        <v>1.6021120765332032E-4</v>
      </c>
    </row>
    <row r="150" spans="2:7" ht="24" x14ac:dyDescent="0.2">
      <c r="B150" s="12" t="s">
        <v>515</v>
      </c>
      <c r="C150" s="85">
        <f>SUM('Presupuesto detallado'!C150:E150)</f>
        <v>0</v>
      </c>
      <c r="D150" s="85">
        <f>SUM('Presupuesto detallado'!F150:O150)</f>
        <v>1185968825</v>
      </c>
      <c r="E150" s="85">
        <f>SUM('Presupuesto detallado'!P150:U150)</f>
        <v>0</v>
      </c>
      <c r="F150" s="85">
        <f t="shared" si="4"/>
        <v>1185968825</v>
      </c>
      <c r="G150" s="286">
        <f t="shared" si="5"/>
        <v>4.2835918751712158E-4</v>
      </c>
    </row>
    <row r="151" spans="2:7" ht="27.75" customHeight="1" x14ac:dyDescent="0.2">
      <c r="B151" s="12" t="s">
        <v>543</v>
      </c>
      <c r="C151" s="85">
        <f>SUM('Presupuesto detallado'!C151:E151)</f>
        <v>0</v>
      </c>
      <c r="D151" s="85">
        <f>SUM('Presupuesto detallado'!F151:O151)</f>
        <v>474387530</v>
      </c>
      <c r="E151" s="85">
        <f>SUM('Presupuesto detallado'!P151:U151)</f>
        <v>0</v>
      </c>
      <c r="F151" s="85">
        <f t="shared" si="4"/>
        <v>474387530</v>
      </c>
      <c r="G151" s="286">
        <f t="shared" si="5"/>
        <v>1.7134367500684864E-4</v>
      </c>
    </row>
    <row r="152" spans="2:7" s="88" customFormat="1" ht="16.5" customHeight="1" x14ac:dyDescent="0.2">
      <c r="B152" s="9" t="s">
        <v>32</v>
      </c>
      <c r="C152" s="65">
        <f>SUM('Presupuesto detallado'!C152:E152)</f>
        <v>0</v>
      </c>
      <c r="D152" s="65">
        <f>SUM('Presupuesto detallado'!F152:O152)</f>
        <v>508802654.5</v>
      </c>
      <c r="E152" s="65">
        <f>SUM('Presupuesto detallado'!P152:U152)</f>
        <v>0</v>
      </c>
      <c r="F152" s="65">
        <f t="shared" si="4"/>
        <v>508802654.5</v>
      </c>
      <c r="G152" s="285">
        <f t="shared" si="5"/>
        <v>1.8377404792927396E-4</v>
      </c>
    </row>
    <row r="153" spans="2:7" ht="24" x14ac:dyDescent="0.2">
      <c r="B153" s="12" t="s">
        <v>525</v>
      </c>
      <c r="C153" s="85">
        <f>SUM('Presupuesto detallado'!C153:E153)</f>
        <v>0</v>
      </c>
      <c r="D153" s="85">
        <f>SUM('Presupuesto detallado'!F153:O153)</f>
        <v>219926752</v>
      </c>
      <c r="E153" s="85">
        <f>SUM('Presupuesto detallado'!P153:U153)</f>
        <v>0</v>
      </c>
      <c r="F153" s="85">
        <f t="shared" si="4"/>
        <v>219926752</v>
      </c>
      <c r="G153" s="286">
        <f t="shared" si="5"/>
        <v>7.9435178070552987E-5</v>
      </c>
    </row>
    <row r="154" spans="2:7" ht="24" x14ac:dyDescent="0.2">
      <c r="B154" s="12" t="s">
        <v>526</v>
      </c>
      <c r="C154" s="85">
        <f>SUM('Presupuesto detallado'!C154:E154)</f>
        <v>0</v>
      </c>
      <c r="D154" s="85">
        <f>SUM('Presupuesto detallado'!F154:O154)</f>
        <v>288875902.5</v>
      </c>
      <c r="E154" s="85">
        <f>SUM('Presupuesto detallado'!P154:U154)</f>
        <v>0</v>
      </c>
      <c r="F154" s="85">
        <f t="shared" si="4"/>
        <v>288875902.5</v>
      </c>
      <c r="G154" s="286">
        <f t="shared" si="5"/>
        <v>1.0433886985872097E-4</v>
      </c>
    </row>
    <row r="155" spans="2:7" s="89" customFormat="1" ht="17.25" customHeight="1" x14ac:dyDescent="0.25">
      <c r="B155" s="9" t="s">
        <v>33</v>
      </c>
      <c r="C155" s="65">
        <f>SUM('Presupuesto detallado'!C155:E155)</f>
        <v>89782914</v>
      </c>
      <c r="D155" s="65">
        <f>SUM('Presupuesto detallado'!F155:O155)</f>
        <v>1560468300</v>
      </c>
      <c r="E155" s="65">
        <f>SUM('Presupuesto detallado'!P155:U155)</f>
        <v>369716652</v>
      </c>
      <c r="F155" s="65">
        <f t="shared" si="4"/>
        <v>2019967866</v>
      </c>
      <c r="G155" s="285">
        <f t="shared" si="5"/>
        <v>7.2959067359165523E-4</v>
      </c>
    </row>
    <row r="156" spans="2:7" ht="27" customHeight="1" x14ac:dyDescent="0.2">
      <c r="B156" s="12" t="s">
        <v>527</v>
      </c>
      <c r="C156" s="85">
        <f>SUM('Presupuesto detallado'!C156:E156)</f>
        <v>89782914</v>
      </c>
      <c r="D156" s="85">
        <f>SUM('Presupuesto detallado'!F156:O156)</f>
        <v>179565828</v>
      </c>
      <c r="E156" s="85">
        <f>SUM('Presupuesto detallado'!P156:U156)</f>
        <v>0</v>
      </c>
      <c r="F156" s="85">
        <f t="shared" si="4"/>
        <v>269348742</v>
      </c>
      <c r="G156" s="286">
        <f t="shared" si="5"/>
        <v>9.7285869450977185E-5</v>
      </c>
    </row>
    <row r="157" spans="2:7" ht="27" customHeight="1" x14ac:dyDescent="0.2">
      <c r="B157" s="12" t="s">
        <v>528</v>
      </c>
      <c r="C157" s="85">
        <f>SUM('Presupuesto detallado'!C157:E157)</f>
        <v>0</v>
      </c>
      <c r="D157" s="85">
        <f>SUM('Presupuesto detallado'!F157:O157)</f>
        <v>616194420</v>
      </c>
      <c r="E157" s="85">
        <f>SUM('Presupuesto detallado'!P157:U157)</f>
        <v>369716652</v>
      </c>
      <c r="F157" s="85">
        <f t="shared" si="4"/>
        <v>985911072</v>
      </c>
      <c r="G157" s="286">
        <f t="shared" si="5"/>
        <v>3.5610047824491034E-4</v>
      </c>
    </row>
    <row r="158" spans="2:7" ht="27.75" customHeight="1" x14ac:dyDescent="0.2">
      <c r="B158" s="12" t="s">
        <v>529</v>
      </c>
      <c r="C158" s="85">
        <f>SUM('Presupuesto detallado'!C158:E158)</f>
        <v>0</v>
      </c>
      <c r="D158" s="85">
        <f>SUM('Presupuesto detallado'!F158:O158)</f>
        <v>544705797</v>
      </c>
      <c r="E158" s="85">
        <f>SUM('Presupuesto detallado'!P158:U158)</f>
        <v>0</v>
      </c>
      <c r="F158" s="85">
        <f t="shared" si="4"/>
        <v>544705797</v>
      </c>
      <c r="G158" s="286">
        <f t="shared" si="5"/>
        <v>1.9674187695345715E-4</v>
      </c>
    </row>
    <row r="159" spans="2:7" ht="27.75" customHeight="1" x14ac:dyDescent="0.2">
      <c r="B159" s="12" t="s">
        <v>530</v>
      </c>
      <c r="C159" s="85">
        <f>SUM('Presupuesto detallado'!C159:E159)</f>
        <v>0</v>
      </c>
      <c r="D159" s="85">
        <f>SUM('Presupuesto detallado'!F159:O159)</f>
        <v>220002255</v>
      </c>
      <c r="E159" s="85">
        <f>SUM('Presupuesto detallado'!P159:U159)</f>
        <v>0</v>
      </c>
      <c r="F159" s="85">
        <f t="shared" si="4"/>
        <v>220002255</v>
      </c>
      <c r="G159" s="286">
        <f t="shared" si="5"/>
        <v>7.9462448942310606E-5</v>
      </c>
    </row>
    <row r="160" spans="2:7" ht="17.25" customHeight="1" x14ac:dyDescent="0.2">
      <c r="B160" s="11" t="s">
        <v>35</v>
      </c>
      <c r="C160" s="164">
        <f>+C5+C29+C54+C79+C95+C103+C116+C129+C142</f>
        <v>192918873340.40002</v>
      </c>
      <c r="D160" s="164">
        <f t="shared" ref="D160:F160" si="6">+D5+D29+D54+D79+D95+D103+D116+D129+D142</f>
        <v>1894388596036.0251</v>
      </c>
      <c r="E160" s="164">
        <f t="shared" si="6"/>
        <v>681324229348.59998</v>
      </c>
      <c r="F160" s="164">
        <f t="shared" si="6"/>
        <v>2768631698725.0254</v>
      </c>
      <c r="G160" s="289">
        <f>+G5+G29+G54+G79+G95+G103+G116+G129+G142</f>
        <v>0.99999999999999989</v>
      </c>
    </row>
    <row r="161" spans="3:7" x14ac:dyDescent="0.2">
      <c r="C161" s="182"/>
      <c r="G161" s="290"/>
    </row>
    <row r="165" spans="3:7" x14ac:dyDescent="0.2">
      <c r="D165" s="182"/>
    </row>
  </sheetData>
  <sheetProtection algorithmName="SHA-512" hashValue="dIXvSCbXW8mM+XYDht4Nol17uPSjzx8P+DeidtQrriB1BlSbFctc4zTEN94cfJ9OkCmvET0iTivFeHiwqW6WmQ==" saltValue="zmuU2tUtmwchQOUiwztrT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2:AD159"/>
  <sheetViews>
    <sheetView workbookViewId="0">
      <pane ySplit="4" topLeftCell="A5" activePane="bottomLeft" state="frozen"/>
      <selection activeCell="F22" sqref="F22"/>
      <selection pane="bottomLeft" activeCell="F22" sqref="F22"/>
    </sheetView>
  </sheetViews>
  <sheetFormatPr baseColWidth="10" defaultRowHeight="12" x14ac:dyDescent="0.2"/>
  <cols>
    <col min="1" max="1" width="11.42578125" style="5"/>
    <col min="2" max="2" width="80.7109375" style="5" customWidth="1"/>
    <col min="3" max="3" width="18" style="5" customWidth="1"/>
    <col min="4" max="9" width="12.7109375" style="5" customWidth="1"/>
    <col min="10" max="13" width="18" style="5" customWidth="1"/>
    <col min="14" max="16" width="12.42578125" style="5" customWidth="1"/>
    <col min="17" max="20" width="18" style="5" customWidth="1"/>
    <col min="21" max="23" width="12.7109375" style="5" customWidth="1"/>
    <col min="24" max="24" width="19" style="83" bestFit="1" customWidth="1"/>
    <col min="25" max="25" width="14.42578125" style="5" bestFit="1" customWidth="1"/>
    <col min="26" max="26" width="11.42578125" style="5"/>
    <col min="27" max="27" width="14.42578125" style="5" bestFit="1" customWidth="1"/>
    <col min="28" max="28" width="11.42578125" style="5"/>
    <col min="29" max="29" width="14" style="5" customWidth="1"/>
    <col min="30" max="16384" width="11.42578125" style="5"/>
  </cols>
  <sheetData>
    <row r="2" spans="2:30" x14ac:dyDescent="0.2">
      <c r="B2" s="2" t="s">
        <v>34</v>
      </c>
    </row>
    <row r="4" spans="2:30" s="83" customFormat="1" ht="36" x14ac:dyDescent="0.25">
      <c r="B4" s="175" t="s">
        <v>36</v>
      </c>
      <c r="C4" s="84" t="s">
        <v>37</v>
      </c>
      <c r="D4" s="175" t="s">
        <v>544</v>
      </c>
      <c r="E4" s="175" t="s">
        <v>0</v>
      </c>
      <c r="F4" s="175" t="s">
        <v>545</v>
      </c>
      <c r="G4" s="175" t="s">
        <v>0</v>
      </c>
      <c r="H4" s="175" t="s">
        <v>546</v>
      </c>
      <c r="I4" s="175" t="s">
        <v>0</v>
      </c>
      <c r="J4" s="84" t="s">
        <v>8</v>
      </c>
      <c r="K4" s="175" t="s">
        <v>544</v>
      </c>
      <c r="L4" s="175" t="s">
        <v>0</v>
      </c>
      <c r="M4" s="175" t="s">
        <v>545</v>
      </c>
      <c r="N4" s="175" t="s">
        <v>0</v>
      </c>
      <c r="O4" s="175" t="s">
        <v>546</v>
      </c>
      <c r="P4" s="175" t="s">
        <v>0</v>
      </c>
      <c r="Q4" s="84" t="s">
        <v>9</v>
      </c>
      <c r="R4" s="175" t="s">
        <v>544</v>
      </c>
      <c r="S4" s="175" t="s">
        <v>0</v>
      </c>
      <c r="T4" s="175" t="s">
        <v>545</v>
      </c>
      <c r="U4" s="175" t="s">
        <v>0</v>
      </c>
      <c r="V4" s="175" t="s">
        <v>546</v>
      </c>
      <c r="W4" s="175" t="s">
        <v>0</v>
      </c>
      <c r="X4" s="84" t="s">
        <v>35</v>
      </c>
      <c r="Y4" s="175" t="s">
        <v>544</v>
      </c>
      <c r="Z4" s="175" t="s">
        <v>0</v>
      </c>
      <c r="AA4" s="175" t="s">
        <v>545</v>
      </c>
      <c r="AB4" s="175" t="s">
        <v>0</v>
      </c>
      <c r="AC4" s="175" t="s">
        <v>546</v>
      </c>
      <c r="AD4" s="175" t="s">
        <v>0</v>
      </c>
    </row>
    <row r="5" spans="2:30" x14ac:dyDescent="0.2">
      <c r="B5" s="8" t="s">
        <v>2</v>
      </c>
      <c r="C5" s="64">
        <f>+C6+C12+C16+C20+C26</f>
        <v>109413542942.25</v>
      </c>
      <c r="D5" s="64"/>
      <c r="E5" s="64"/>
      <c r="F5" s="64"/>
      <c r="G5" s="64"/>
      <c r="H5" s="64"/>
      <c r="I5" s="64"/>
      <c r="J5" s="64">
        <f>+J6+J12+J16+J20+J26</f>
        <v>559932116812.25</v>
      </c>
      <c r="K5" s="64"/>
      <c r="L5" s="64"/>
      <c r="M5" s="64"/>
      <c r="N5" s="64"/>
      <c r="O5" s="64"/>
      <c r="P5" s="64"/>
      <c r="Q5" s="64">
        <f>+Q6+Q12+Q16+Q20+Q26</f>
        <v>3847665796.1999998</v>
      </c>
      <c r="R5" s="64"/>
      <c r="S5" s="64"/>
      <c r="T5" s="64"/>
      <c r="U5" s="64"/>
      <c r="V5" s="64"/>
      <c r="W5" s="64"/>
      <c r="X5" s="64">
        <f>+X6+X12+X16+X20+X26</f>
        <v>983940035404.69995</v>
      </c>
      <c r="Y5" s="64">
        <f>+Y6+Y12+Y16+Y20+Y26</f>
        <v>660458467276.23999</v>
      </c>
      <c r="Z5" s="64"/>
      <c r="AA5" s="64">
        <f>+AA6+AA12+AA16+AA20+AA26</f>
        <v>4590407989.2399998</v>
      </c>
      <c r="AB5" s="64"/>
      <c r="AC5" s="64">
        <f>+AC6+AC12+AC16+AC20+AC26</f>
        <v>7021881321.2200003</v>
      </c>
      <c r="AD5" s="64"/>
    </row>
    <row r="6" spans="2:30" s="88" customFormat="1" x14ac:dyDescent="0.2">
      <c r="B6" s="9" t="s">
        <v>4</v>
      </c>
      <c r="C6" s="64">
        <f>SUM(C7:C11)</f>
        <v>5395429336.7999992</v>
      </c>
      <c r="D6" s="64">
        <f>SUM(D7:D11)</f>
        <v>5315503467.1499996</v>
      </c>
      <c r="E6" s="196">
        <f>+D6/C6</f>
        <v>0.98518637449204305</v>
      </c>
      <c r="F6" s="64">
        <f>SUM(F7:F11)</f>
        <v>79925869.649999991</v>
      </c>
      <c r="G6" s="196">
        <f>+F6/C6</f>
        <v>1.4813625507957E-2</v>
      </c>
      <c r="H6" s="64"/>
      <c r="I6" s="64"/>
      <c r="J6" s="64">
        <f>SUM(J7:J11)</f>
        <v>30109482269.900005</v>
      </c>
      <c r="K6" s="64">
        <f>SUM(K7:K11)</f>
        <v>23100151680.610004</v>
      </c>
      <c r="L6" s="184">
        <f>+K6/J6</f>
        <v>0.76720521042312562</v>
      </c>
      <c r="M6" s="64">
        <f>SUM(M7:M11)</f>
        <v>1248295225.95</v>
      </c>
      <c r="N6" s="184">
        <f>+M6/J6</f>
        <v>4.1458541689967945E-2</v>
      </c>
      <c r="O6" s="64">
        <f>SUM(O7:O11)</f>
        <v>5761035363.3400002</v>
      </c>
      <c r="P6" s="184">
        <f>+O6/J6</f>
        <v>0.1913362478869064</v>
      </c>
      <c r="Q6" s="64">
        <f>SUM(Q7:Q11)</f>
        <v>1598517393</v>
      </c>
      <c r="R6" s="64">
        <f>SUM(R7:R11)</f>
        <v>479555217.89999998</v>
      </c>
      <c r="S6" s="197">
        <f>+R6/Q6</f>
        <v>0.3</v>
      </c>
      <c r="T6" s="64">
        <f>SUM(T7:T11)</f>
        <v>1118962175.0999999</v>
      </c>
      <c r="U6" s="197">
        <f>+T6/Q6</f>
        <v>0.7</v>
      </c>
      <c r="V6" s="64"/>
      <c r="W6" s="64"/>
      <c r="X6" s="64">
        <f>SUM(X7:X11)</f>
        <v>37103428999.700005</v>
      </c>
      <c r="Y6" s="64">
        <f>SUM(Y7:Y11)</f>
        <v>28895210365.660004</v>
      </c>
      <c r="Z6" s="184">
        <f>+Y6/X6</f>
        <v>0.77877466165980591</v>
      </c>
      <c r="AA6" s="64">
        <f>SUM(AA7:AA11)</f>
        <v>2447183270.7000003</v>
      </c>
      <c r="AB6" s="184">
        <f>+AA6/X6</f>
        <v>6.5955717212007187E-2</v>
      </c>
      <c r="AC6" s="64">
        <f>SUM(AC7:AC11)</f>
        <v>5761035363.3400002</v>
      </c>
      <c r="AD6" s="184">
        <f>+AC6/X6</f>
        <v>0.15526962112818685</v>
      </c>
    </row>
    <row r="7" spans="2:30" ht="28.5" customHeight="1" x14ac:dyDescent="0.2">
      <c r="B7" s="12" t="s">
        <v>324</v>
      </c>
      <c r="C7" s="85">
        <f>SUM('Presupuesto detallado'!C7:E7)</f>
        <v>266419565.5</v>
      </c>
      <c r="D7" s="85">
        <f>+C7*70%</f>
        <v>186493695.84999999</v>
      </c>
      <c r="E7" s="85"/>
      <c r="F7" s="85">
        <f>+C7*30%</f>
        <v>79925869.649999991</v>
      </c>
      <c r="G7" s="85"/>
      <c r="H7" s="85">
        <v>0</v>
      </c>
      <c r="I7" s="85"/>
      <c r="J7" s="62">
        <f>SUM('Presupuesto detallado'!F7:O7)</f>
        <v>2664195655</v>
      </c>
      <c r="K7" s="62">
        <f>+J7*50%</f>
        <v>1332097827.5</v>
      </c>
      <c r="L7" s="62"/>
      <c r="M7" s="62">
        <f>+J7*30%</f>
        <v>799258696.5</v>
      </c>
      <c r="N7" s="62"/>
      <c r="O7" s="62">
        <f>+J7*20%</f>
        <v>532839131</v>
      </c>
      <c r="P7" s="62"/>
      <c r="Q7" s="62">
        <f>SUM('Presupuesto detallado'!P7:U7)</f>
        <v>1598517393</v>
      </c>
      <c r="R7" s="62">
        <f>+Q7*30%</f>
        <v>479555217.89999998</v>
      </c>
      <c r="S7" s="62"/>
      <c r="T7" s="62">
        <f>+Q7*70%</f>
        <v>1118962175.0999999</v>
      </c>
      <c r="U7" s="62"/>
      <c r="V7" s="62"/>
      <c r="W7" s="62"/>
      <c r="X7" s="62">
        <f t="shared" ref="X7:X28" si="0">+Q7+J7+C7</f>
        <v>4529132613.5</v>
      </c>
      <c r="Y7" s="62">
        <f>+D7+K7+R7</f>
        <v>1998146741.25</v>
      </c>
      <c r="Z7" s="62"/>
      <c r="AA7" s="62">
        <f>+F7+M7+T7</f>
        <v>1998146741.25</v>
      </c>
      <c r="AB7" s="62"/>
      <c r="AC7" s="62">
        <f>+H7+O7+V7</f>
        <v>532839131</v>
      </c>
      <c r="AD7" s="62"/>
    </row>
    <row r="8" spans="2:30" ht="27" customHeight="1" x14ac:dyDescent="0.2">
      <c r="B8" s="12" t="s">
        <v>325</v>
      </c>
      <c r="C8" s="85">
        <f>SUM('Presupuesto detallado'!C8:E8)</f>
        <v>5101837561.3999996</v>
      </c>
      <c r="D8" s="85">
        <f>+C8</f>
        <v>5101837561.3999996</v>
      </c>
      <c r="E8" s="85"/>
      <c r="F8" s="85"/>
      <c r="G8" s="85"/>
      <c r="H8" s="85"/>
      <c r="I8" s="85"/>
      <c r="J8" s="62">
        <f>SUM('Presupuesto detallado'!F8:O8)</f>
        <v>25509187807.000004</v>
      </c>
      <c r="K8" s="62">
        <f>+J8*80%</f>
        <v>20407350245.600002</v>
      </c>
      <c r="L8" s="62"/>
      <c r="M8" s="62"/>
      <c r="N8" s="62"/>
      <c r="O8" s="62">
        <f>+J8*20%</f>
        <v>5101837561.4000006</v>
      </c>
      <c r="P8" s="62"/>
      <c r="Q8" s="62">
        <f>SUM('Presupuesto detallado'!P8:U8)</f>
        <v>0</v>
      </c>
      <c r="R8" s="62"/>
      <c r="S8" s="62"/>
      <c r="T8" s="62"/>
      <c r="U8" s="62"/>
      <c r="V8" s="62"/>
      <c r="W8" s="62"/>
      <c r="X8" s="62">
        <f t="shared" si="0"/>
        <v>30611025368.400002</v>
      </c>
      <c r="Y8" s="62">
        <f t="shared" ref="Y8:Y28" si="1">+D8+K8+R8</f>
        <v>25509187807</v>
      </c>
      <c r="Z8" s="62"/>
      <c r="AA8" s="62">
        <f t="shared" ref="AA8:AA28" si="2">+F8+M8+T8</f>
        <v>0</v>
      </c>
      <c r="AB8" s="62"/>
      <c r="AC8" s="62">
        <f t="shared" ref="AC8:AC15" si="3">+H8+O8+V8</f>
        <v>5101837561.4000006</v>
      </c>
      <c r="AD8" s="62"/>
    </row>
    <row r="9" spans="2:30" ht="42" customHeight="1" x14ac:dyDescent="0.2">
      <c r="B9" s="12" t="s">
        <v>326</v>
      </c>
      <c r="C9" s="85">
        <f>SUM('Presupuesto detallado'!C9:E9)</f>
        <v>0</v>
      </c>
      <c r="D9" s="85"/>
      <c r="E9" s="85"/>
      <c r="F9" s="85"/>
      <c r="G9" s="85"/>
      <c r="H9" s="85"/>
      <c r="I9" s="85"/>
      <c r="J9" s="62">
        <f>SUM('Presupuesto detallado'!F9:O9)</f>
        <v>672512098.5</v>
      </c>
      <c r="K9" s="62">
        <f>+J9*70%</f>
        <v>470758468.94999999</v>
      </c>
      <c r="L9" s="62"/>
      <c r="M9" s="62">
        <f>+J9*30%</f>
        <v>201753629.54999998</v>
      </c>
      <c r="N9" s="62"/>
      <c r="O9" s="62"/>
      <c r="P9" s="62"/>
      <c r="Q9" s="62">
        <f>SUM('Presupuesto detallado'!P9:U9)</f>
        <v>0</v>
      </c>
      <c r="R9" s="62"/>
      <c r="S9" s="62"/>
      <c r="T9" s="62"/>
      <c r="U9" s="62"/>
      <c r="V9" s="62"/>
      <c r="W9" s="62"/>
      <c r="X9" s="62">
        <f t="shared" si="0"/>
        <v>672512098.5</v>
      </c>
      <c r="Y9" s="62">
        <f t="shared" si="1"/>
        <v>470758468.94999999</v>
      </c>
      <c r="Z9" s="62"/>
      <c r="AA9" s="62">
        <f t="shared" si="2"/>
        <v>201753629.54999998</v>
      </c>
      <c r="AB9" s="62"/>
      <c r="AC9" s="62">
        <f t="shared" si="3"/>
        <v>0</v>
      </c>
      <c r="AD9" s="62"/>
    </row>
    <row r="10" spans="2:30" ht="30" customHeight="1" x14ac:dyDescent="0.2">
      <c r="B10" s="12" t="s">
        <v>327</v>
      </c>
      <c r="C10" s="85">
        <f>SUM('Presupuesto detallado'!C10:E10)</f>
        <v>0</v>
      </c>
      <c r="D10" s="85"/>
      <c r="E10" s="85"/>
      <c r="F10" s="85"/>
      <c r="G10" s="85"/>
      <c r="H10" s="85"/>
      <c r="I10" s="85"/>
      <c r="J10" s="62">
        <f>SUM('Presupuesto detallado'!F10:O10)</f>
        <v>1236414499.5</v>
      </c>
      <c r="K10" s="62">
        <f>+J10*70%</f>
        <v>865490149.64999998</v>
      </c>
      <c r="L10" s="62"/>
      <c r="M10" s="62">
        <f>+J10*20%</f>
        <v>247282899.90000001</v>
      </c>
      <c r="N10" s="62"/>
      <c r="O10" s="62">
        <f>+J10*10%</f>
        <v>123641449.95</v>
      </c>
      <c r="P10" s="62"/>
      <c r="Q10" s="62">
        <f>SUM('Presupuesto detallado'!P10:U10)</f>
        <v>0</v>
      </c>
      <c r="R10" s="62"/>
      <c r="S10" s="62"/>
      <c r="T10" s="62"/>
      <c r="U10" s="62"/>
      <c r="V10" s="62"/>
      <c r="W10" s="62"/>
      <c r="X10" s="62">
        <f t="shared" si="0"/>
        <v>1236414499.5</v>
      </c>
      <c r="Y10" s="62">
        <f t="shared" si="1"/>
        <v>865490149.64999998</v>
      </c>
      <c r="Z10" s="62"/>
      <c r="AA10" s="62">
        <f t="shared" si="2"/>
        <v>247282899.90000001</v>
      </c>
      <c r="AB10" s="62"/>
      <c r="AC10" s="62">
        <f t="shared" si="3"/>
        <v>123641449.95</v>
      </c>
      <c r="AD10" s="62"/>
    </row>
    <row r="11" spans="2:30" ht="37.5" customHeight="1" x14ac:dyDescent="0.2">
      <c r="B11" s="12" t="s">
        <v>328</v>
      </c>
      <c r="C11" s="85">
        <f>SUM('Presupuesto detallado'!C11:E11)</f>
        <v>27172209.899999999</v>
      </c>
      <c r="D11" s="85">
        <f>+C11</f>
        <v>27172209.899999999</v>
      </c>
      <c r="E11" s="85"/>
      <c r="F11" s="85"/>
      <c r="G11" s="85"/>
      <c r="H11" s="85"/>
      <c r="I11" s="85"/>
      <c r="J11" s="62">
        <f>SUM('Presupuesto detallado'!F11:O11)</f>
        <v>27172209.899999999</v>
      </c>
      <c r="K11" s="62">
        <f>+J11*90%</f>
        <v>24454988.91</v>
      </c>
      <c r="L11" s="62"/>
      <c r="M11" s="62"/>
      <c r="N11" s="62"/>
      <c r="O11" s="62">
        <f>+J11*10%</f>
        <v>2717220.99</v>
      </c>
      <c r="P11" s="62"/>
      <c r="Q11" s="62">
        <f>SUM('Presupuesto detallado'!P11:U11)</f>
        <v>0</v>
      </c>
      <c r="R11" s="62"/>
      <c r="S11" s="62"/>
      <c r="T11" s="62"/>
      <c r="U11" s="62"/>
      <c r="V11" s="62"/>
      <c r="W11" s="62"/>
      <c r="X11" s="62">
        <f t="shared" si="0"/>
        <v>54344419.799999997</v>
      </c>
      <c r="Y11" s="62">
        <f t="shared" si="1"/>
        <v>51627198.810000002</v>
      </c>
      <c r="Z11" s="62"/>
      <c r="AA11" s="62">
        <f t="shared" si="2"/>
        <v>0</v>
      </c>
      <c r="AB11" s="62"/>
      <c r="AC11" s="62">
        <f t="shared" si="3"/>
        <v>2717220.99</v>
      </c>
      <c r="AD11" s="62"/>
    </row>
    <row r="12" spans="2:30" s="88" customFormat="1" ht="14.25" customHeight="1" x14ac:dyDescent="0.2">
      <c r="B12" s="9" t="s">
        <v>5</v>
      </c>
      <c r="C12" s="87">
        <f>SUM(C13:C15)</f>
        <v>723880863.64999998</v>
      </c>
      <c r="D12" s="87">
        <f>SUM(D13:D15)</f>
        <v>723880863.64999998</v>
      </c>
      <c r="E12" s="198">
        <f>+D12/C12</f>
        <v>1</v>
      </c>
      <c r="F12" s="87">
        <f>SUM(F13:F15)</f>
        <v>0</v>
      </c>
      <c r="G12" s="196">
        <f>+F12/C12</f>
        <v>0</v>
      </c>
      <c r="H12" s="87"/>
      <c r="I12" s="87"/>
      <c r="J12" s="87">
        <f>SUM(J13:J15)</f>
        <v>3026247479.3499999</v>
      </c>
      <c r="K12" s="87">
        <f>SUM(K13:K15)</f>
        <v>2276221810.75</v>
      </c>
      <c r="L12" s="198">
        <f>+K12/J12</f>
        <v>0.75215983698692879</v>
      </c>
      <c r="M12" s="87">
        <f>SUM(M13:M15)</f>
        <v>161736377.22</v>
      </c>
      <c r="N12" s="196">
        <f>+M12/J12</f>
        <v>5.3444530998746659E-2</v>
      </c>
      <c r="O12" s="87">
        <f>SUM(O13:O15)</f>
        <v>588289291.38</v>
      </c>
      <c r="P12" s="198">
        <f>+O12/J12</f>
        <v>0.19439563201432461</v>
      </c>
      <c r="Q12" s="87">
        <f>SUM(Q13:Q15)</f>
        <v>0</v>
      </c>
      <c r="R12" s="87">
        <f>SUM(R13:R15)</f>
        <v>0</v>
      </c>
      <c r="S12" s="198" t="e">
        <f>+R12/Q12</f>
        <v>#DIV/0!</v>
      </c>
      <c r="T12" s="87">
        <f>SUM(T13:T15)</f>
        <v>0</v>
      </c>
      <c r="U12" s="196" t="e">
        <f>+T12/Q12</f>
        <v>#DIV/0!</v>
      </c>
      <c r="V12" s="87">
        <f>SUM(V13:V15)</f>
        <v>0</v>
      </c>
      <c r="W12" s="198" t="e">
        <f>+V12/Q12</f>
        <v>#DIV/0!</v>
      </c>
      <c r="X12" s="87">
        <f>SUM(X13:X15)</f>
        <v>3750128342.9999995</v>
      </c>
      <c r="Y12" s="87">
        <f>SUM(Y13:Y15)</f>
        <v>3000102674.4000001</v>
      </c>
      <c r="Z12" s="184">
        <f>+Y12/X12</f>
        <v>0.80000000000000016</v>
      </c>
      <c r="AA12" s="87">
        <f>SUM(AA13:AA15)</f>
        <v>161736377.22</v>
      </c>
      <c r="AB12" s="184">
        <f>+AA12/X12</f>
        <v>4.3128224537140866E-2</v>
      </c>
      <c r="AC12" s="87">
        <f>SUM(AC13:AC15)</f>
        <v>588289291.38</v>
      </c>
      <c r="AD12" s="184">
        <f>+AC12/X12</f>
        <v>0.15687177546285916</v>
      </c>
    </row>
    <row r="13" spans="2:30" ht="15" customHeight="1" x14ac:dyDescent="0.2">
      <c r="B13" s="12" t="s">
        <v>330</v>
      </c>
      <c r="C13" s="85">
        <f>SUM('Presupuesto detallado'!C13:E13)</f>
        <v>723880863.64999998</v>
      </c>
      <c r="D13" s="85">
        <f>+C13</f>
        <v>723880863.64999998</v>
      </c>
      <c r="E13" s="85"/>
      <c r="F13" s="85"/>
      <c r="G13" s="85"/>
      <c r="H13" s="85"/>
      <c r="I13" s="85"/>
      <c r="J13" s="62">
        <f>SUM('Presupuesto detallado'!F13:O13)</f>
        <v>1447761727.3</v>
      </c>
      <c r="K13" s="62">
        <f>+J13*70%</f>
        <v>1013433209.1099999</v>
      </c>
      <c r="L13" s="62"/>
      <c r="M13" s="62">
        <v>0</v>
      </c>
      <c r="N13" s="62"/>
      <c r="O13" s="62">
        <f>+J13*30%</f>
        <v>434328518.19</v>
      </c>
      <c r="P13" s="62"/>
      <c r="Q13" s="62">
        <f>SUM('Presupuesto detallado'!P13:U13)</f>
        <v>0</v>
      </c>
      <c r="R13" s="62">
        <f>+Q13*80%</f>
        <v>0</v>
      </c>
      <c r="S13" s="62"/>
      <c r="T13" s="62"/>
      <c r="U13" s="62"/>
      <c r="V13" s="62">
        <f>+Q13*20%</f>
        <v>0</v>
      </c>
      <c r="W13" s="62"/>
      <c r="X13" s="62">
        <f t="shared" si="0"/>
        <v>2171642590.9499998</v>
      </c>
      <c r="Y13" s="62">
        <f t="shared" si="1"/>
        <v>1737314072.7599998</v>
      </c>
      <c r="Z13" s="62"/>
      <c r="AA13" s="62">
        <f t="shared" si="2"/>
        <v>0</v>
      </c>
      <c r="AB13" s="62"/>
      <c r="AC13" s="62">
        <f t="shared" si="3"/>
        <v>434328518.19</v>
      </c>
      <c r="AD13" s="62"/>
    </row>
    <row r="14" spans="2:30" ht="36" x14ac:dyDescent="0.2">
      <c r="B14" s="12" t="s">
        <v>332</v>
      </c>
      <c r="C14" s="85">
        <f>SUM('Presupuesto detallado'!C14:E14)</f>
        <v>0</v>
      </c>
      <c r="D14" s="85">
        <f>+C14*84%</f>
        <v>0</v>
      </c>
      <c r="E14" s="85"/>
      <c r="F14" s="85">
        <f>+C14*16%</f>
        <v>0</v>
      </c>
      <c r="G14" s="85"/>
      <c r="H14" s="85"/>
      <c r="I14" s="85"/>
      <c r="J14" s="62">
        <f>SUM('Presupuesto detallado'!F14:O14)</f>
        <v>769803865.95000005</v>
      </c>
      <c r="K14" s="62">
        <f>+J14*80%</f>
        <v>615843092.76000011</v>
      </c>
      <c r="L14" s="62"/>
      <c r="M14" s="62">
        <v>0</v>
      </c>
      <c r="N14" s="62"/>
      <c r="O14" s="62">
        <f>+J14*20%</f>
        <v>153960773.19000003</v>
      </c>
      <c r="P14" s="62"/>
      <c r="Q14" s="62">
        <f>SUM('Presupuesto detallado'!P14:U14)</f>
        <v>0</v>
      </c>
      <c r="R14" s="62"/>
      <c r="S14" s="62"/>
      <c r="T14" s="62"/>
      <c r="U14" s="62"/>
      <c r="V14" s="62"/>
      <c r="W14" s="62"/>
      <c r="X14" s="62">
        <f t="shared" si="0"/>
        <v>769803865.95000005</v>
      </c>
      <c r="Y14" s="62">
        <f t="shared" si="1"/>
        <v>615843092.76000011</v>
      </c>
      <c r="Z14" s="62"/>
      <c r="AA14" s="62">
        <f t="shared" si="2"/>
        <v>0</v>
      </c>
      <c r="AB14" s="62"/>
      <c r="AC14" s="62">
        <f t="shared" si="3"/>
        <v>153960773.19000003</v>
      </c>
      <c r="AD14" s="62"/>
    </row>
    <row r="15" spans="2:30" ht="27" customHeight="1" x14ac:dyDescent="0.2">
      <c r="B15" s="12" t="s">
        <v>331</v>
      </c>
      <c r="C15" s="85">
        <f>SUM('Presupuesto detallado'!C15:E15)</f>
        <v>0</v>
      </c>
      <c r="D15" s="85"/>
      <c r="E15" s="85"/>
      <c r="F15" s="85"/>
      <c r="G15" s="85"/>
      <c r="H15" s="85"/>
      <c r="I15" s="85"/>
      <c r="J15" s="62">
        <f>SUM('Presupuesto detallado'!F15:O15)</f>
        <v>808681886.0999999</v>
      </c>
      <c r="K15" s="62">
        <f>+J15*80%</f>
        <v>646945508.88</v>
      </c>
      <c r="L15" s="62"/>
      <c r="M15" s="62">
        <f>+J15*20%</f>
        <v>161736377.22</v>
      </c>
      <c r="N15" s="62"/>
      <c r="O15" s="62"/>
      <c r="P15" s="62"/>
      <c r="Q15" s="62">
        <f>SUM('Presupuesto detallado'!P15:U15)</f>
        <v>0</v>
      </c>
      <c r="R15" s="62"/>
      <c r="S15" s="62"/>
      <c r="T15" s="62"/>
      <c r="U15" s="62"/>
      <c r="V15" s="62"/>
      <c r="W15" s="62"/>
      <c r="X15" s="62">
        <f t="shared" si="0"/>
        <v>808681886.0999999</v>
      </c>
      <c r="Y15" s="62">
        <f t="shared" si="1"/>
        <v>646945508.88</v>
      </c>
      <c r="Z15" s="62"/>
      <c r="AA15" s="62">
        <f t="shared" si="2"/>
        <v>161736377.22</v>
      </c>
      <c r="AB15" s="62"/>
      <c r="AC15" s="62">
        <f t="shared" si="3"/>
        <v>0</v>
      </c>
      <c r="AD15" s="62"/>
    </row>
    <row r="16" spans="2:30" s="88" customFormat="1" ht="13.5" customHeight="1" x14ac:dyDescent="0.2">
      <c r="B16" s="9" t="s">
        <v>6</v>
      </c>
      <c r="C16" s="87">
        <f>SUM(C17:C19)</f>
        <v>283634962.79999995</v>
      </c>
      <c r="D16" s="87">
        <f>SUM(D17:D19)</f>
        <v>248451495.84</v>
      </c>
      <c r="E16" s="198">
        <f>+D16/C16</f>
        <v>0.87595511282292471</v>
      </c>
      <c r="F16" s="87">
        <f>SUM(F17:F19)</f>
        <v>35183466.960000001</v>
      </c>
      <c r="G16" s="196">
        <f>+F16/C16</f>
        <v>0.1240448871770755</v>
      </c>
      <c r="H16" s="87"/>
      <c r="I16" s="87"/>
      <c r="J16" s="87">
        <f>SUM(J17:J19)</f>
        <v>974356856</v>
      </c>
      <c r="K16" s="87">
        <f>SUM(K17:K19)</f>
        <v>369603788.39999992</v>
      </c>
      <c r="L16" s="198">
        <f>+K16/J16</f>
        <v>0.37933102858979617</v>
      </c>
      <c r="M16" s="87">
        <f>SUM(M17:M19)</f>
        <v>158401623.59999996</v>
      </c>
      <c r="N16" s="196">
        <f>+M16/J16</f>
        <v>0.16257044082419836</v>
      </c>
      <c r="O16" s="87"/>
      <c r="P16" s="87"/>
      <c r="Q16" s="87">
        <f>SUM(Q17:Q19)</f>
        <v>316803247.19999999</v>
      </c>
      <c r="R16" s="87">
        <f>SUM(R17:R19)</f>
        <v>221762273.03999999</v>
      </c>
      <c r="S16" s="198">
        <f>+R16/Q16</f>
        <v>0.7</v>
      </c>
      <c r="T16" s="87">
        <f>SUM(T17:T19)</f>
        <v>95040974.159999996</v>
      </c>
      <c r="U16" s="196">
        <f>+T16/Q16</f>
        <v>0.3</v>
      </c>
      <c r="V16" s="87"/>
      <c r="W16" s="87"/>
      <c r="X16" s="87">
        <f>SUM(X17:X19)</f>
        <v>1574795066</v>
      </c>
      <c r="Y16" s="87">
        <f>SUM(Y17:Y19)</f>
        <v>839817557.27999985</v>
      </c>
      <c r="Z16" s="197">
        <f>+Y16/X16</f>
        <v>0.53328688628238297</v>
      </c>
      <c r="AA16" s="87">
        <f>SUM(AA17:AA19)</f>
        <v>288626064.71999997</v>
      </c>
      <c r="AB16" s="197">
        <f>+AA16/X16</f>
        <v>0.18327849188219389</v>
      </c>
      <c r="AC16" s="87"/>
      <c r="AD16" s="87"/>
    </row>
    <row r="17" spans="2:30" ht="27" customHeight="1" x14ac:dyDescent="0.2">
      <c r="B17" s="12" t="s">
        <v>335</v>
      </c>
      <c r="C17" s="85">
        <f>SUM('Presupuesto detallado'!C17:E17)</f>
        <v>0</v>
      </c>
      <c r="D17" s="85">
        <f>+C17*80%</f>
        <v>0</v>
      </c>
      <c r="E17" s="85"/>
      <c r="F17" s="85">
        <f>+C17*20%</f>
        <v>0</v>
      </c>
      <c r="G17" s="85"/>
      <c r="H17" s="85"/>
      <c r="I17" s="85"/>
      <c r="J17" s="62">
        <f>SUM('Presupuesto detallado'!F17:O17)</f>
        <v>446351444</v>
      </c>
      <c r="K17" s="62"/>
      <c r="L17" s="62"/>
      <c r="M17" s="62"/>
      <c r="N17" s="62"/>
      <c r="O17" s="62"/>
      <c r="P17" s="62"/>
      <c r="Q17" s="62">
        <f>SUM('Presupuesto detallado'!P17:U17)</f>
        <v>0</v>
      </c>
      <c r="R17" s="62"/>
      <c r="S17" s="62"/>
      <c r="T17" s="62"/>
      <c r="U17" s="62"/>
      <c r="V17" s="62"/>
      <c r="W17" s="62"/>
      <c r="X17" s="62">
        <f t="shared" si="0"/>
        <v>446351444</v>
      </c>
      <c r="Y17" s="62">
        <f t="shared" si="1"/>
        <v>0</v>
      </c>
      <c r="Z17" s="62"/>
      <c r="AA17" s="62">
        <f t="shared" si="2"/>
        <v>0</v>
      </c>
      <c r="AB17" s="62"/>
      <c r="AC17" s="62"/>
      <c r="AD17" s="62"/>
    </row>
    <row r="18" spans="2:30" ht="27.75" customHeight="1" x14ac:dyDescent="0.2">
      <c r="B18" s="12" t="s">
        <v>336</v>
      </c>
      <c r="C18" s="85">
        <f>SUM('Presupuesto detallado'!C18:E18)</f>
        <v>175917334.79999998</v>
      </c>
      <c r="D18" s="85">
        <f>+C18*80%</f>
        <v>140733867.84</v>
      </c>
      <c r="E18" s="85"/>
      <c r="F18" s="85">
        <f>+C18*20%</f>
        <v>35183466.960000001</v>
      </c>
      <c r="G18" s="85"/>
      <c r="H18" s="85"/>
      <c r="I18" s="85"/>
      <c r="J18" s="62">
        <f>SUM('Presupuesto detallado'!F18:O18)</f>
        <v>528005411.99999994</v>
      </c>
      <c r="K18" s="62">
        <f>+J18*70%</f>
        <v>369603788.39999992</v>
      </c>
      <c r="L18" s="62"/>
      <c r="M18" s="62">
        <f>+J18*30%</f>
        <v>158401623.59999996</v>
      </c>
      <c r="N18" s="62"/>
      <c r="O18" s="62"/>
      <c r="P18" s="62"/>
      <c r="Q18" s="62">
        <f>SUM('Presupuesto detallado'!P18:U18)</f>
        <v>316803247.19999999</v>
      </c>
      <c r="R18" s="62">
        <f>+Q18*70%</f>
        <v>221762273.03999999</v>
      </c>
      <c r="S18" s="62"/>
      <c r="T18" s="62">
        <f>+Q18*30%</f>
        <v>95040974.159999996</v>
      </c>
      <c r="U18" s="62"/>
      <c r="V18" s="62"/>
      <c r="W18" s="62"/>
      <c r="X18" s="62">
        <f t="shared" si="0"/>
        <v>1020725993.9999999</v>
      </c>
      <c r="Y18" s="62">
        <f t="shared" si="1"/>
        <v>732099929.27999985</v>
      </c>
      <c r="Z18" s="62"/>
      <c r="AA18" s="62">
        <f t="shared" si="2"/>
        <v>288626064.71999997</v>
      </c>
      <c r="AB18" s="62"/>
      <c r="AC18" s="62"/>
      <c r="AD18" s="62"/>
    </row>
    <row r="19" spans="2:30" x14ac:dyDescent="0.2">
      <c r="B19" s="12" t="s">
        <v>337</v>
      </c>
      <c r="C19" s="85">
        <f>SUM('Presupuesto detallado'!C19:E19)</f>
        <v>107717628</v>
      </c>
      <c r="D19" s="85">
        <f>+C19</f>
        <v>107717628</v>
      </c>
      <c r="E19" s="85"/>
      <c r="F19" s="85"/>
      <c r="G19" s="85"/>
      <c r="H19" s="85"/>
      <c r="I19" s="85"/>
      <c r="J19" s="62">
        <f>SUM('Presupuesto detallado'!F19:O19)</f>
        <v>0</v>
      </c>
      <c r="K19" s="62"/>
      <c r="L19" s="62"/>
      <c r="M19" s="62"/>
      <c r="N19" s="62"/>
      <c r="O19" s="62"/>
      <c r="P19" s="62"/>
      <c r="Q19" s="62">
        <f>SUM('Presupuesto detallado'!P19:U19)</f>
        <v>0</v>
      </c>
      <c r="R19" s="62"/>
      <c r="S19" s="62"/>
      <c r="T19" s="62"/>
      <c r="U19" s="62"/>
      <c r="V19" s="62"/>
      <c r="W19" s="62"/>
      <c r="X19" s="62">
        <f t="shared" si="0"/>
        <v>107717628</v>
      </c>
      <c r="Y19" s="62">
        <f t="shared" si="1"/>
        <v>107717628</v>
      </c>
      <c r="Z19" s="62"/>
      <c r="AA19" s="62">
        <f t="shared" si="2"/>
        <v>0</v>
      </c>
      <c r="AB19" s="62"/>
      <c r="AC19" s="62"/>
      <c r="AD19" s="62"/>
    </row>
    <row r="20" spans="2:30" s="88" customFormat="1" ht="19.5" customHeight="1" x14ac:dyDescent="0.2">
      <c r="B20" s="9" t="s">
        <v>3</v>
      </c>
      <c r="C20" s="87">
        <f>SUM(C21:C25)</f>
        <v>0</v>
      </c>
      <c r="D20" s="87"/>
      <c r="E20" s="87"/>
      <c r="F20" s="87"/>
      <c r="G20" s="87"/>
      <c r="H20" s="87"/>
      <c r="I20" s="87"/>
      <c r="J20" s="87">
        <f>SUM(J21:J25)</f>
        <v>7910847117</v>
      </c>
      <c r="K20" s="87">
        <f>SUM(K21:K25)</f>
        <v>6153140446.1999998</v>
      </c>
      <c r="L20" s="199">
        <f>+K20/J20</f>
        <v>0.7778105625347278</v>
      </c>
      <c r="M20" s="87">
        <f>SUM(M21:M25)</f>
        <v>1175429105.0999999</v>
      </c>
      <c r="N20" s="200">
        <f>+M20/J20</f>
        <v>0.14858447998243624</v>
      </c>
      <c r="O20" s="87">
        <f>SUM(O21:O25)</f>
        <v>582277565.70000005</v>
      </c>
      <c r="P20" s="199">
        <f>+O20/J20</f>
        <v>7.3604957482835909E-2</v>
      </c>
      <c r="Q20" s="87">
        <f t="shared" ref="Q20:AC20" si="4">SUM(Q21:Q25)</f>
        <v>1932345156</v>
      </c>
      <c r="R20" s="87">
        <f t="shared" si="4"/>
        <v>934234783.20000005</v>
      </c>
      <c r="S20" s="199">
        <f>+R20/Q20</f>
        <v>0.48347200307314042</v>
      </c>
      <c r="T20" s="87">
        <f t="shared" si="4"/>
        <v>231613752</v>
      </c>
      <c r="U20" s="200">
        <f>+T20/Q20</f>
        <v>0.11986148089580742</v>
      </c>
      <c r="V20" s="87">
        <f t="shared" si="4"/>
        <v>90279100.800000012</v>
      </c>
      <c r="W20" s="199">
        <f>+V20/Q20</f>
        <v>4.6719966419912204E-2</v>
      </c>
      <c r="X20" s="87">
        <f t="shared" si="4"/>
        <v>9843192273</v>
      </c>
      <c r="Y20" s="87">
        <f t="shared" si="4"/>
        <v>7087375229.3999996</v>
      </c>
      <c r="Z20" s="197">
        <f>+Y20/X20</f>
        <v>0.72002812023094975</v>
      </c>
      <c r="AA20" s="87">
        <f t="shared" si="4"/>
        <v>1407042857.0999999</v>
      </c>
      <c r="AB20" s="197">
        <f>+AA20/X20</f>
        <v>0.1429457860901017</v>
      </c>
      <c r="AC20" s="87">
        <f t="shared" si="4"/>
        <v>672556666.5</v>
      </c>
      <c r="AD20" s="184">
        <f>+AC20/X20</f>
        <v>6.8327088189146873E-2</v>
      </c>
    </row>
    <row r="21" spans="2:30" ht="24" x14ac:dyDescent="0.2">
      <c r="B21" s="12" t="s">
        <v>339</v>
      </c>
      <c r="C21" s="85">
        <f>SUM('Presupuesto detallado'!C21:E21)</f>
        <v>0</v>
      </c>
      <c r="D21" s="85"/>
      <c r="E21" s="85"/>
      <c r="F21" s="85"/>
      <c r="G21" s="85"/>
      <c r="H21" s="85"/>
      <c r="I21" s="85"/>
      <c r="J21" s="62">
        <f>SUM('Presupuesto detallado'!F21:O21)</f>
        <v>1138806846</v>
      </c>
      <c r="K21" s="62">
        <f>+J21*80%</f>
        <v>911045476.80000007</v>
      </c>
      <c r="L21" s="62"/>
      <c r="M21" s="62">
        <f>+J21*20%</f>
        <v>227761369.20000002</v>
      </c>
      <c r="N21" s="62"/>
      <c r="O21" s="62"/>
      <c r="P21" s="62"/>
      <c r="Q21" s="62">
        <f>SUM('Presupuesto detallado'!P21:U21)</f>
        <v>676217520</v>
      </c>
      <c r="R21" s="62"/>
      <c r="S21" s="62"/>
      <c r="T21" s="62"/>
      <c r="U21" s="62"/>
      <c r="V21" s="62"/>
      <c r="W21" s="62"/>
      <c r="X21" s="62">
        <f t="shared" si="0"/>
        <v>1815024366</v>
      </c>
      <c r="Y21" s="62">
        <f t="shared" si="1"/>
        <v>911045476.80000007</v>
      </c>
      <c r="Z21" s="62"/>
      <c r="AA21" s="62">
        <f t="shared" si="2"/>
        <v>227761369.20000002</v>
      </c>
      <c r="AB21" s="62"/>
      <c r="AC21" s="62">
        <f t="shared" ref="AC21:AC28" si="5">+H21+O21+V21</f>
        <v>0</v>
      </c>
      <c r="AD21" s="62"/>
    </row>
    <row r="22" spans="2:30" ht="36" x14ac:dyDescent="0.2">
      <c r="B22" s="12" t="s">
        <v>340</v>
      </c>
      <c r="C22" s="85">
        <f>SUM('Presupuesto detallado'!C22:E22)</f>
        <v>0</v>
      </c>
      <c r="D22" s="85"/>
      <c r="E22" s="85"/>
      <c r="F22" s="85"/>
      <c r="G22" s="85"/>
      <c r="H22" s="85"/>
      <c r="I22" s="85"/>
      <c r="J22" s="62">
        <f>SUM('Presupuesto detallado'!F22:O22)</f>
        <v>419259672</v>
      </c>
      <c r="K22" s="62">
        <f>+J22*80%</f>
        <v>335407737.60000002</v>
      </c>
      <c r="L22" s="62"/>
      <c r="M22" s="62">
        <f>+J22*20%</f>
        <v>83851934.400000006</v>
      </c>
      <c r="N22" s="62"/>
      <c r="O22" s="62"/>
      <c r="P22" s="62"/>
      <c r="Q22" s="62">
        <f>SUM('Presupuesto detallado'!P22:U22)</f>
        <v>0</v>
      </c>
      <c r="R22" s="62"/>
      <c r="S22" s="62"/>
      <c r="T22" s="62"/>
      <c r="U22" s="62"/>
      <c r="V22" s="62"/>
      <c r="W22" s="62"/>
      <c r="X22" s="62">
        <f t="shared" si="0"/>
        <v>419259672</v>
      </c>
      <c r="Y22" s="62">
        <f t="shared" si="1"/>
        <v>335407737.60000002</v>
      </c>
      <c r="Z22" s="62"/>
      <c r="AA22" s="62">
        <f t="shared" si="2"/>
        <v>83851934.400000006</v>
      </c>
      <c r="AB22" s="62"/>
      <c r="AC22" s="62">
        <f t="shared" si="5"/>
        <v>0</v>
      </c>
      <c r="AD22" s="62"/>
    </row>
    <row r="23" spans="2:30" ht="47.25" customHeight="1" x14ac:dyDescent="0.2">
      <c r="B23" s="12" t="s">
        <v>341</v>
      </c>
      <c r="C23" s="85">
        <f>SUM('Presupuesto detallado'!C23:E23)</f>
        <v>0</v>
      </c>
      <c r="D23" s="85"/>
      <c r="E23" s="85"/>
      <c r="F23" s="85"/>
      <c r="G23" s="85"/>
      <c r="H23" s="85"/>
      <c r="I23" s="85"/>
      <c r="J23" s="62">
        <f>SUM('Presupuesto detallado'!F23:O23)</f>
        <v>4945089420</v>
      </c>
      <c r="K23" s="62">
        <f>+J23*80%</f>
        <v>3956071536</v>
      </c>
      <c r="L23" s="62"/>
      <c r="M23" s="62">
        <f>+J23*10%</f>
        <v>494508942</v>
      </c>
      <c r="N23" s="62"/>
      <c r="O23" s="62">
        <f>+J23*10%</f>
        <v>494508942</v>
      </c>
      <c r="P23" s="62"/>
      <c r="Q23" s="62">
        <f>SUM('Presupuesto detallado'!P23:U23)</f>
        <v>549454380</v>
      </c>
      <c r="R23" s="62">
        <f>+Q23*80%</f>
        <v>439563504</v>
      </c>
      <c r="S23" s="62"/>
      <c r="T23" s="62">
        <f>+Q23*10%</f>
        <v>54945438</v>
      </c>
      <c r="U23" s="62"/>
      <c r="V23" s="62">
        <f>+Q23*10%</f>
        <v>54945438</v>
      </c>
      <c r="W23" s="62"/>
      <c r="X23" s="62">
        <f t="shared" si="0"/>
        <v>5494543800</v>
      </c>
      <c r="Y23" s="62">
        <f t="shared" si="1"/>
        <v>4395635040</v>
      </c>
      <c r="Z23" s="62"/>
      <c r="AA23" s="62">
        <f t="shared" si="2"/>
        <v>549454380</v>
      </c>
      <c r="AB23" s="62"/>
      <c r="AC23" s="62">
        <f t="shared" si="5"/>
        <v>549454380</v>
      </c>
      <c r="AD23" s="62"/>
    </row>
    <row r="24" spans="2:30" ht="36" x14ac:dyDescent="0.2">
      <c r="B24" s="12" t="s">
        <v>342</v>
      </c>
      <c r="C24" s="85">
        <f>SUM('Presupuesto detallado'!C24:E24)</f>
        <v>0</v>
      </c>
      <c r="D24" s="85"/>
      <c r="E24" s="85"/>
      <c r="F24" s="85"/>
      <c r="G24" s="85"/>
      <c r="H24" s="85"/>
      <c r="I24" s="85"/>
      <c r="J24" s="62">
        <f>SUM('Presupuesto detallado'!F24:O24)</f>
        <v>1060009884</v>
      </c>
      <c r="K24" s="62">
        <f>+J24*70%</f>
        <v>742006918.79999995</v>
      </c>
      <c r="L24" s="62"/>
      <c r="M24" s="62">
        <f>+J24*25%</f>
        <v>265002471</v>
      </c>
      <c r="N24" s="62"/>
      <c r="O24" s="62">
        <f>+J24*5%</f>
        <v>53000494.200000003</v>
      </c>
      <c r="P24" s="62"/>
      <c r="Q24" s="62">
        <f>SUM('Presupuesto detallado'!P24:U24)</f>
        <v>706673256</v>
      </c>
      <c r="R24" s="62">
        <f>+Q24*70%</f>
        <v>494671279.19999999</v>
      </c>
      <c r="S24" s="62"/>
      <c r="T24" s="62">
        <f>+Q24*25%</f>
        <v>176668314</v>
      </c>
      <c r="U24" s="62"/>
      <c r="V24" s="62">
        <f>+Q24*5%</f>
        <v>35333662.800000004</v>
      </c>
      <c r="W24" s="62"/>
      <c r="X24" s="62">
        <f t="shared" si="0"/>
        <v>1766683140</v>
      </c>
      <c r="Y24" s="62">
        <f t="shared" si="1"/>
        <v>1236678198</v>
      </c>
      <c r="Z24" s="62"/>
      <c r="AA24" s="62">
        <f t="shared" si="2"/>
        <v>441670785</v>
      </c>
      <c r="AB24" s="62"/>
      <c r="AC24" s="62">
        <f t="shared" si="5"/>
        <v>88334157</v>
      </c>
      <c r="AD24" s="62"/>
    </row>
    <row r="25" spans="2:30" ht="24" x14ac:dyDescent="0.2">
      <c r="B25" s="12" t="s">
        <v>343</v>
      </c>
      <c r="C25" s="85">
        <f>SUM('Presupuesto detallado'!C25:E25)</f>
        <v>0</v>
      </c>
      <c r="D25" s="85"/>
      <c r="E25" s="85"/>
      <c r="F25" s="85"/>
      <c r="G25" s="85"/>
      <c r="H25" s="85"/>
      <c r="I25" s="85"/>
      <c r="J25" s="62">
        <f>SUM('Presupuesto detallado'!F25:O25)</f>
        <v>347681295</v>
      </c>
      <c r="K25" s="62">
        <f>+J25*60%</f>
        <v>208608777</v>
      </c>
      <c r="L25" s="62"/>
      <c r="M25" s="62">
        <f>+J25*30%</f>
        <v>104304388.5</v>
      </c>
      <c r="N25" s="62"/>
      <c r="O25" s="62">
        <f>+J25*10%</f>
        <v>34768129.5</v>
      </c>
      <c r="P25" s="62"/>
      <c r="Q25" s="62">
        <f>SUM('Presupuesto detallado'!P25:U25)</f>
        <v>0</v>
      </c>
      <c r="R25" s="62"/>
      <c r="S25" s="62"/>
      <c r="T25" s="62"/>
      <c r="U25" s="62"/>
      <c r="V25" s="62"/>
      <c r="W25" s="62"/>
      <c r="X25" s="62">
        <f t="shared" si="0"/>
        <v>347681295</v>
      </c>
      <c r="Y25" s="62">
        <f t="shared" si="1"/>
        <v>208608777</v>
      </c>
      <c r="Z25" s="62"/>
      <c r="AA25" s="62">
        <f t="shared" si="2"/>
        <v>104304388.5</v>
      </c>
      <c r="AB25" s="62"/>
      <c r="AC25" s="62">
        <f t="shared" si="5"/>
        <v>34768129.5</v>
      </c>
      <c r="AD25" s="62"/>
    </row>
    <row r="26" spans="2:30" s="88" customFormat="1" ht="16.5" customHeight="1" x14ac:dyDescent="0.2">
      <c r="B26" s="9" t="s">
        <v>7</v>
      </c>
      <c r="C26" s="87">
        <f>SUM(C27:C28)</f>
        <v>103010597779</v>
      </c>
      <c r="D26" s="87">
        <f>SUM(D27:D28)</f>
        <v>103010597779</v>
      </c>
      <c r="E26" s="198">
        <f>+D26/C26</f>
        <v>1</v>
      </c>
      <c r="F26" s="87"/>
      <c r="G26" s="87"/>
      <c r="H26" s="87"/>
      <c r="I26" s="87"/>
      <c r="J26" s="87">
        <f>SUM(J27:J28)</f>
        <v>517911183090</v>
      </c>
      <c r="K26" s="87">
        <f>SUM(K27:K28)</f>
        <v>517625363670.5</v>
      </c>
      <c r="L26" s="198">
        <f>+K26/J26</f>
        <v>0.99944813043465341</v>
      </c>
      <c r="M26" s="87">
        <f>SUM(M27:M28)</f>
        <v>285819419.5</v>
      </c>
      <c r="N26" s="200">
        <f>+M26/J26</f>
        <v>5.5186956534655817E-4</v>
      </c>
      <c r="O26" s="87"/>
      <c r="P26" s="87"/>
      <c r="Q26" s="87"/>
      <c r="R26" s="87"/>
      <c r="S26" s="87"/>
      <c r="T26" s="87"/>
      <c r="U26" s="87"/>
      <c r="V26" s="87"/>
      <c r="W26" s="87"/>
      <c r="X26" s="87">
        <f>SUM(X27:X28)</f>
        <v>931668490723</v>
      </c>
      <c r="Y26" s="87">
        <f>SUM(Y27:Y28)</f>
        <v>620635961449.5</v>
      </c>
      <c r="Z26" s="197">
        <f>+Y26/X26</f>
        <v>0.66615536280278154</v>
      </c>
      <c r="AA26" s="87">
        <f>SUM(AA27:AA28)</f>
        <v>285819419.5</v>
      </c>
      <c r="AB26" s="197">
        <f>+AA26/X26</f>
        <v>3.0678231833105825E-4</v>
      </c>
      <c r="AC26" s="87"/>
      <c r="AD26" s="87"/>
    </row>
    <row r="27" spans="2:30" ht="51.75" customHeight="1" x14ac:dyDescent="0.2">
      <c r="B27" s="12" t="s">
        <v>346</v>
      </c>
      <c r="C27" s="85">
        <f>SUM('Presupuesto detallado'!C27:E27)</f>
        <v>103010597779</v>
      </c>
      <c r="D27" s="85">
        <f>+C27</f>
        <v>103010597779</v>
      </c>
      <c r="E27" s="85"/>
      <c r="F27" s="85"/>
      <c r="G27" s="85"/>
      <c r="H27" s="85"/>
      <c r="I27" s="85"/>
      <c r="J27" s="62">
        <f>SUM('Presupuesto detallado'!F27:O27)</f>
        <v>515052988895</v>
      </c>
      <c r="K27" s="62">
        <f>+J27</f>
        <v>515052988895</v>
      </c>
      <c r="L27" s="62"/>
      <c r="M27" s="62"/>
      <c r="N27" s="62"/>
      <c r="O27" s="62"/>
      <c r="P27" s="62"/>
      <c r="Q27" s="62">
        <f>SUM('Presupuesto detallado'!P27:U27)</f>
        <v>309031793337</v>
      </c>
      <c r="R27" s="62"/>
      <c r="S27" s="62"/>
      <c r="T27" s="62"/>
      <c r="U27" s="62"/>
      <c r="V27" s="62"/>
      <c r="W27" s="62"/>
      <c r="X27" s="62">
        <f t="shared" si="0"/>
        <v>927095380011</v>
      </c>
      <c r="Y27" s="62">
        <f t="shared" si="1"/>
        <v>618063586674</v>
      </c>
      <c r="Z27" s="62"/>
      <c r="AA27" s="62">
        <f t="shared" si="2"/>
        <v>0</v>
      </c>
      <c r="AB27" s="62"/>
      <c r="AC27" s="62">
        <f t="shared" si="5"/>
        <v>0</v>
      </c>
      <c r="AD27" s="62"/>
    </row>
    <row r="28" spans="2:30" ht="39" customHeight="1" x14ac:dyDescent="0.2">
      <c r="B28" s="12" t="s">
        <v>347</v>
      </c>
      <c r="C28" s="85">
        <f>SUM('Presupuesto detallado'!C28:E28)</f>
        <v>0</v>
      </c>
      <c r="D28" s="85"/>
      <c r="E28" s="85"/>
      <c r="F28" s="85"/>
      <c r="G28" s="85"/>
      <c r="H28" s="85"/>
      <c r="I28" s="85"/>
      <c r="J28" s="62">
        <f>SUM('Presupuesto detallado'!F28:O28)</f>
        <v>2858194195</v>
      </c>
      <c r="K28" s="62">
        <f>+J28*90%</f>
        <v>2572374775.5</v>
      </c>
      <c r="L28" s="62"/>
      <c r="M28" s="62">
        <f>+J28*10%</f>
        <v>285819419.5</v>
      </c>
      <c r="N28" s="62"/>
      <c r="O28" s="62"/>
      <c r="P28" s="62"/>
      <c r="Q28" s="62">
        <f>SUM('Presupuesto detallado'!P28:U28)</f>
        <v>1714916517</v>
      </c>
      <c r="R28" s="62"/>
      <c r="S28" s="62"/>
      <c r="T28" s="62"/>
      <c r="U28" s="62"/>
      <c r="V28" s="62"/>
      <c r="W28" s="62"/>
      <c r="X28" s="62">
        <f t="shared" si="0"/>
        <v>4573110712</v>
      </c>
      <c r="Y28" s="62">
        <f t="shared" si="1"/>
        <v>2572374775.5</v>
      </c>
      <c r="Z28" s="62"/>
      <c r="AA28" s="62">
        <f t="shared" si="2"/>
        <v>285819419.5</v>
      </c>
      <c r="AB28" s="62"/>
      <c r="AC28" s="62">
        <f t="shared" si="5"/>
        <v>0</v>
      </c>
      <c r="AD28" s="62"/>
    </row>
    <row r="29" spans="2:30" s="89" customFormat="1" ht="14.25" customHeight="1" x14ac:dyDescent="0.25">
      <c r="B29" s="8" t="s">
        <v>212</v>
      </c>
      <c r="C29" s="64">
        <f>+C30+C40+C48</f>
        <v>61479687638.699997</v>
      </c>
      <c r="D29" s="64"/>
      <c r="E29" s="64"/>
      <c r="F29" s="64"/>
      <c r="G29" s="64"/>
      <c r="H29" s="64"/>
      <c r="I29" s="64"/>
      <c r="J29" s="64">
        <f>+J30+J40+J48</f>
        <v>641480146014.09998</v>
      </c>
      <c r="K29" s="64"/>
      <c r="L29" s="64"/>
      <c r="M29" s="64"/>
      <c r="N29" s="64"/>
      <c r="O29" s="64"/>
      <c r="P29" s="64"/>
      <c r="Q29" s="64">
        <f>+Q30+Q40+Q48</f>
        <v>291081242834.70001</v>
      </c>
      <c r="R29" s="64"/>
      <c r="S29" s="64"/>
      <c r="T29" s="64"/>
      <c r="U29" s="64"/>
      <c r="V29" s="64"/>
      <c r="W29" s="64"/>
      <c r="X29" s="64">
        <f>+X30+X40+X48</f>
        <v>994041076487.5</v>
      </c>
      <c r="Y29" s="64">
        <f>+Y30+Y40+Y48</f>
        <v>4489530858.9799995</v>
      </c>
      <c r="Z29" s="64"/>
      <c r="AA29" s="64">
        <f>+AA30+AA40+AA48</f>
        <v>1512748945.1199999</v>
      </c>
      <c r="AB29" s="64"/>
      <c r="AC29" s="64">
        <f>+AC30+AC40+AC48</f>
        <v>342816423.39999998</v>
      </c>
      <c r="AD29" s="64"/>
    </row>
    <row r="30" spans="2:30" s="89" customFormat="1" ht="16.5" customHeight="1" x14ac:dyDescent="0.25">
      <c r="B30" s="9" t="s">
        <v>11</v>
      </c>
      <c r="C30" s="64">
        <f>SUM(C31:C39)</f>
        <v>60387474941.5</v>
      </c>
      <c r="D30" s="64">
        <f>SUM(D31:D39)</f>
        <v>324176052</v>
      </c>
      <c r="E30" s="196">
        <f>+D30/C30</f>
        <v>5.3682663882542465E-3</v>
      </c>
      <c r="F30" s="64">
        <f>SUM(F31:F39)</f>
        <v>63298889.5</v>
      </c>
      <c r="G30" s="196">
        <f>+F30/C30</f>
        <v>1.0482122254874941E-3</v>
      </c>
      <c r="H30" s="64">
        <f>SUM(H31:H39)</f>
        <v>0</v>
      </c>
      <c r="I30" s="196">
        <f>+H30/E30</f>
        <v>0</v>
      </c>
      <c r="J30" s="64">
        <f t="shared" ref="J30:V30" si="6">SUM(J31:J39)</f>
        <v>211252083422</v>
      </c>
      <c r="K30" s="64">
        <f t="shared" si="6"/>
        <v>1016679875.1799999</v>
      </c>
      <c r="L30" s="196">
        <f>+K30/J30</f>
        <v>4.8126383357321341E-3</v>
      </c>
      <c r="M30" s="64">
        <f t="shared" si="6"/>
        <v>235403546.81999999</v>
      </c>
      <c r="N30" s="196">
        <f>+M30/J30</f>
        <v>1.1143253264383418E-3</v>
      </c>
      <c r="O30" s="64">
        <f t="shared" si="6"/>
        <v>0</v>
      </c>
      <c r="P30" s="196">
        <f>+O30/J30</f>
        <v>0</v>
      </c>
      <c r="Q30" s="64">
        <f t="shared" si="6"/>
        <v>131865041711</v>
      </c>
      <c r="R30" s="64">
        <f t="shared" si="6"/>
        <v>498845387.56</v>
      </c>
      <c r="S30" s="196">
        <f>+R30/Q30</f>
        <v>3.7829995053070007E-3</v>
      </c>
      <c r="T30" s="64">
        <f t="shared" si="6"/>
        <v>116196323.44</v>
      </c>
      <c r="U30" s="196">
        <f>+T30/Q30</f>
        <v>8.8117610196233734E-4</v>
      </c>
      <c r="V30" s="64">
        <f t="shared" si="6"/>
        <v>0</v>
      </c>
      <c r="W30" s="196">
        <f>+V30/Q30</f>
        <v>0</v>
      </c>
      <c r="X30" s="64">
        <f>SUM(X31:X39)</f>
        <v>403504600074.5</v>
      </c>
      <c r="Y30" s="64">
        <f>SUM(Y31:Y39)</f>
        <v>1839701314.74</v>
      </c>
      <c r="Z30" s="196">
        <f>+Y30/X30</f>
        <v>4.5593069184349608E-3</v>
      </c>
      <c r="AA30" s="64">
        <f>SUM(AA31:AA39)</f>
        <v>414898759.75999999</v>
      </c>
      <c r="AB30" s="196">
        <f>+AA30/X30</f>
        <v>1.0282379920412215E-3</v>
      </c>
      <c r="AC30" s="64"/>
      <c r="AD30" s="64"/>
    </row>
    <row r="31" spans="2:30" ht="24" x14ac:dyDescent="0.2">
      <c r="B31" s="12" t="s">
        <v>349</v>
      </c>
      <c r="C31" s="85">
        <f>SUM('Presupuesto detallado'!C31:E31)</f>
        <v>144597779</v>
      </c>
      <c r="D31" s="85">
        <f>+C31</f>
        <v>144597779</v>
      </c>
      <c r="E31" s="85"/>
      <c r="F31" s="85">
        <v>0</v>
      </c>
      <c r="G31" s="85"/>
      <c r="H31" s="85">
        <v>0</v>
      </c>
      <c r="I31" s="85"/>
      <c r="J31" s="62">
        <f>SUM('Presupuesto detallado'!F31:O31)</f>
        <v>722988895</v>
      </c>
      <c r="K31" s="62">
        <f>+J31*88%</f>
        <v>636230227.60000002</v>
      </c>
      <c r="L31" s="62"/>
      <c r="M31" s="62">
        <f>+J31*12%</f>
        <v>86758667.399999991</v>
      </c>
      <c r="N31" s="62"/>
      <c r="O31" s="62">
        <v>0</v>
      </c>
      <c r="P31" s="62"/>
      <c r="Q31" s="62">
        <f>SUM('Presupuesto detallado'!P31:U31)</f>
        <v>433793337</v>
      </c>
      <c r="R31" s="62">
        <f>+Q31*88%</f>
        <v>381738136.56</v>
      </c>
      <c r="S31" s="62"/>
      <c r="T31" s="62">
        <f>+Q31*12%</f>
        <v>52055200.439999998</v>
      </c>
      <c r="U31" s="62"/>
      <c r="V31" s="62">
        <v>0</v>
      </c>
      <c r="W31" s="62"/>
      <c r="X31" s="62">
        <f>+Q31+J31+C31</f>
        <v>1301380011</v>
      </c>
      <c r="Y31" s="62">
        <f t="shared" ref="Y31:Y39" si="7">+D31+K31+R31</f>
        <v>1162566143.1600001</v>
      </c>
      <c r="Z31" s="62"/>
      <c r="AA31" s="62">
        <f t="shared" ref="AA31:AA39" si="8">+F31+M31+T31</f>
        <v>138813867.83999997</v>
      </c>
      <c r="AB31" s="62"/>
      <c r="AC31" s="62"/>
      <c r="AD31" s="62"/>
    </row>
    <row r="32" spans="2:30" ht="36" x14ac:dyDescent="0.2">
      <c r="B32" s="12" t="s">
        <v>350</v>
      </c>
      <c r="C32" s="85">
        <f>SUM('Presupuesto detallado'!C32:E32)</f>
        <v>96279383.5</v>
      </c>
      <c r="D32" s="85">
        <f>+C32</f>
        <v>96279383.5</v>
      </c>
      <c r="E32" s="85"/>
      <c r="F32" s="85">
        <v>0</v>
      </c>
      <c r="G32" s="85"/>
      <c r="H32" s="85">
        <v>0</v>
      </c>
      <c r="I32" s="85"/>
      <c r="J32" s="62">
        <f>SUM('Presupuesto detallado'!F32:O32)</f>
        <v>0</v>
      </c>
      <c r="K32" s="62">
        <v>0</v>
      </c>
      <c r="L32" s="62"/>
      <c r="M32" s="62">
        <v>0</v>
      </c>
      <c r="N32" s="62"/>
      <c r="O32" s="62">
        <v>0</v>
      </c>
      <c r="P32" s="62"/>
      <c r="Q32" s="62">
        <f>SUM('Presupuesto detallado'!P32:U32)</f>
        <v>0</v>
      </c>
      <c r="R32" s="62">
        <v>0</v>
      </c>
      <c r="S32" s="62"/>
      <c r="T32" s="62">
        <v>0</v>
      </c>
      <c r="U32" s="62"/>
      <c r="V32" s="62">
        <v>0</v>
      </c>
      <c r="W32" s="62"/>
      <c r="X32" s="62">
        <f t="shared" ref="X32:X53" si="9">+Q32+J32+C32</f>
        <v>96279383.5</v>
      </c>
      <c r="Y32" s="62">
        <f t="shared" si="7"/>
        <v>96279383.5</v>
      </c>
      <c r="Z32" s="62"/>
      <c r="AA32" s="62">
        <f t="shared" si="8"/>
        <v>0</v>
      </c>
      <c r="AB32" s="62"/>
      <c r="AC32" s="62"/>
      <c r="AD32" s="62"/>
    </row>
    <row r="33" spans="2:30" ht="36" x14ac:dyDescent="0.2">
      <c r="B33" s="12" t="s">
        <v>351</v>
      </c>
      <c r="C33" s="85">
        <f>SUM('Presupuesto detallado'!C33:E33)</f>
        <v>0</v>
      </c>
      <c r="D33" s="85">
        <v>0</v>
      </c>
      <c r="E33" s="85"/>
      <c r="F33" s="85">
        <v>0</v>
      </c>
      <c r="G33" s="85"/>
      <c r="H33" s="85">
        <v>0</v>
      </c>
      <c r="I33" s="85"/>
      <c r="J33" s="62">
        <f>SUM('Presupuesto detallado'!F33:O33)</f>
        <v>195332216</v>
      </c>
      <c r="K33" s="62">
        <f>+J33*70%</f>
        <v>136732551.19999999</v>
      </c>
      <c r="L33" s="62"/>
      <c r="M33" s="62">
        <f>+J33*30%</f>
        <v>58599664.799999997</v>
      </c>
      <c r="N33" s="62"/>
      <c r="O33" s="62">
        <v>0</v>
      </c>
      <c r="P33" s="62"/>
      <c r="Q33" s="62">
        <f>SUM('Presupuesto detallado'!P33:U33)</f>
        <v>97666108</v>
      </c>
      <c r="R33" s="62">
        <f>+Q33*60%</f>
        <v>58599664.799999997</v>
      </c>
      <c r="S33" s="62"/>
      <c r="T33" s="62">
        <f>+Q33*40%</f>
        <v>39066443.200000003</v>
      </c>
      <c r="U33" s="62"/>
      <c r="V33" s="62">
        <v>0</v>
      </c>
      <c r="W33" s="62"/>
      <c r="X33" s="62">
        <f t="shared" si="9"/>
        <v>292998324</v>
      </c>
      <c r="Y33" s="62">
        <f t="shared" si="7"/>
        <v>195332216</v>
      </c>
      <c r="Z33" s="62"/>
      <c r="AA33" s="62">
        <f t="shared" si="8"/>
        <v>97666108</v>
      </c>
      <c r="AB33" s="62"/>
      <c r="AC33" s="62"/>
      <c r="AD33" s="62"/>
    </row>
    <row r="34" spans="2:30" ht="24" x14ac:dyDescent="0.2">
      <c r="B34" s="12" t="s">
        <v>352</v>
      </c>
      <c r="C34" s="85">
        <f>SUM('Presupuesto detallado'!C34:E34)</f>
        <v>0</v>
      </c>
      <c r="D34" s="85">
        <v>0</v>
      </c>
      <c r="E34" s="85"/>
      <c r="F34" s="85">
        <v>0</v>
      </c>
      <c r="G34" s="85"/>
      <c r="H34" s="85">
        <v>0</v>
      </c>
      <c r="I34" s="85"/>
      <c r="J34" s="62">
        <f>SUM('Presupuesto detallado'!F34:O34)</f>
        <v>167164532</v>
      </c>
      <c r="K34" s="62">
        <f>+J34*84%</f>
        <v>140418206.88</v>
      </c>
      <c r="L34" s="62"/>
      <c r="M34" s="62">
        <f>+J34*16%</f>
        <v>26746325.120000001</v>
      </c>
      <c r="N34" s="62"/>
      <c r="O34" s="62">
        <v>0</v>
      </c>
      <c r="P34" s="62"/>
      <c r="Q34" s="62">
        <f>SUM('Presupuesto detallado'!P34:U34)</f>
        <v>83582266</v>
      </c>
      <c r="R34" s="62">
        <f>+Q34*70%</f>
        <v>58507586.199999996</v>
      </c>
      <c r="S34" s="62"/>
      <c r="T34" s="62">
        <f>+Q34*30%</f>
        <v>25074679.800000001</v>
      </c>
      <c r="U34" s="62"/>
      <c r="V34" s="62">
        <v>0</v>
      </c>
      <c r="W34" s="62"/>
      <c r="X34" s="62">
        <f t="shared" si="9"/>
        <v>250746798</v>
      </c>
      <c r="Y34" s="62">
        <f t="shared" si="7"/>
        <v>198925793.07999998</v>
      </c>
      <c r="Z34" s="62"/>
      <c r="AA34" s="62">
        <f t="shared" si="8"/>
        <v>51821004.920000002</v>
      </c>
      <c r="AB34" s="62"/>
      <c r="AC34" s="62"/>
      <c r="AD34" s="62"/>
    </row>
    <row r="35" spans="2:30" ht="29.25" customHeight="1" x14ac:dyDescent="0.2">
      <c r="B35" s="12" t="s">
        <v>353</v>
      </c>
      <c r="C35" s="85">
        <f>SUM('Presupuesto detallado'!C35:E35)</f>
        <v>0</v>
      </c>
      <c r="D35" s="85">
        <v>0</v>
      </c>
      <c r="E35" s="85"/>
      <c r="F35" s="85">
        <v>0</v>
      </c>
      <c r="G35" s="85"/>
      <c r="H35" s="85">
        <v>0</v>
      </c>
      <c r="I35" s="85"/>
      <c r="J35" s="62">
        <f>SUM('Presupuesto detallado'!F35:O35)</f>
        <v>30000000000</v>
      </c>
      <c r="K35" s="62">
        <v>0</v>
      </c>
      <c r="L35" s="62"/>
      <c r="M35" s="62">
        <v>0</v>
      </c>
      <c r="N35" s="62"/>
      <c r="O35" s="62">
        <v>0</v>
      </c>
      <c r="P35" s="62"/>
      <c r="Q35" s="62">
        <f>SUM('Presupuesto detallado'!P35:U35)</f>
        <v>11250000000</v>
      </c>
      <c r="R35" s="62">
        <v>0</v>
      </c>
      <c r="S35" s="62"/>
      <c r="T35" s="62">
        <v>0</v>
      </c>
      <c r="U35" s="62"/>
      <c r="V35" s="62">
        <v>0</v>
      </c>
      <c r="W35" s="62"/>
      <c r="X35" s="62">
        <f t="shared" si="9"/>
        <v>41250000000</v>
      </c>
      <c r="Y35" s="62">
        <f t="shared" si="7"/>
        <v>0</v>
      </c>
      <c r="Z35" s="62"/>
      <c r="AA35" s="62">
        <f t="shared" si="8"/>
        <v>0</v>
      </c>
      <c r="AB35" s="62"/>
      <c r="AC35" s="62"/>
      <c r="AD35" s="62"/>
    </row>
    <row r="36" spans="2:30" ht="39.75" customHeight="1" x14ac:dyDescent="0.2">
      <c r="B36" s="12" t="s">
        <v>354</v>
      </c>
      <c r="C36" s="85">
        <f>SUM('Presupuesto detallado'!C36:E36)</f>
        <v>63298889.5</v>
      </c>
      <c r="D36" s="85">
        <f>+C36*50%</f>
        <v>31649444.75</v>
      </c>
      <c r="E36" s="85"/>
      <c r="F36" s="85">
        <f>+C36*50%</f>
        <v>31649444.75</v>
      </c>
      <c r="G36" s="85"/>
      <c r="H36" s="85">
        <v>0</v>
      </c>
      <c r="I36" s="85"/>
      <c r="J36" s="62">
        <f>SUM('Presupuesto detallado'!F36:O36)</f>
        <v>126597779</v>
      </c>
      <c r="K36" s="62">
        <f>+J36*50%</f>
        <v>63298889.5</v>
      </c>
      <c r="L36" s="62"/>
      <c r="M36" s="62">
        <f>+J36*50%</f>
        <v>63298889.5</v>
      </c>
      <c r="N36" s="62"/>
      <c r="O36" s="62">
        <v>0</v>
      </c>
      <c r="P36" s="62"/>
      <c r="Q36" s="62">
        <f>SUM('Presupuesto detallado'!P36:U36)</f>
        <v>0</v>
      </c>
      <c r="R36" s="62">
        <v>0</v>
      </c>
      <c r="S36" s="62"/>
      <c r="T36" s="62">
        <v>0</v>
      </c>
      <c r="U36" s="62"/>
      <c r="V36" s="62"/>
      <c r="W36" s="62"/>
      <c r="X36" s="62">
        <f t="shared" si="9"/>
        <v>189896668.5</v>
      </c>
      <c r="Y36" s="62">
        <f t="shared" si="7"/>
        <v>94948334.25</v>
      </c>
      <c r="Z36" s="62"/>
      <c r="AA36" s="62">
        <f t="shared" si="8"/>
        <v>94948334.25</v>
      </c>
      <c r="AB36" s="62"/>
      <c r="AC36" s="62"/>
      <c r="AD36" s="62"/>
    </row>
    <row r="37" spans="2:30" ht="28.5" customHeight="1" x14ac:dyDescent="0.2">
      <c r="B37" s="12" t="s">
        <v>355</v>
      </c>
      <c r="C37" s="85">
        <f>SUM('Presupuesto detallado'!C37:E37)</f>
        <v>20000000</v>
      </c>
      <c r="D37" s="85">
        <f>+C37</f>
        <v>20000000</v>
      </c>
      <c r="E37" s="85"/>
      <c r="F37" s="85">
        <v>0</v>
      </c>
      <c r="G37" s="85"/>
      <c r="H37" s="85">
        <v>0</v>
      </c>
      <c r="I37" s="85"/>
      <c r="J37" s="62">
        <f>SUM('Presupuesto detallado'!F37:O37)</f>
        <v>40000000</v>
      </c>
      <c r="K37" s="62">
        <f>+J37</f>
        <v>40000000</v>
      </c>
      <c r="L37" s="62"/>
      <c r="M37" s="62">
        <v>0</v>
      </c>
      <c r="N37" s="62"/>
      <c r="O37" s="62">
        <v>0</v>
      </c>
      <c r="P37" s="62"/>
      <c r="Q37" s="62">
        <f>SUM('Presupuesto detallado'!P37:U37)</f>
        <v>0</v>
      </c>
      <c r="R37" s="62">
        <v>0</v>
      </c>
      <c r="S37" s="62"/>
      <c r="T37" s="62">
        <v>0</v>
      </c>
      <c r="U37" s="62"/>
      <c r="V37" s="62"/>
      <c r="W37" s="62"/>
      <c r="X37" s="62">
        <f t="shared" si="9"/>
        <v>60000000</v>
      </c>
      <c r="Y37" s="62">
        <f t="shared" si="7"/>
        <v>60000000</v>
      </c>
      <c r="Z37" s="62"/>
      <c r="AA37" s="62">
        <f t="shared" si="8"/>
        <v>0</v>
      </c>
      <c r="AB37" s="62"/>
      <c r="AC37" s="62"/>
      <c r="AD37" s="62"/>
    </row>
    <row r="38" spans="2:30" ht="39.75" customHeight="1" x14ac:dyDescent="0.2">
      <c r="B38" s="12" t="s">
        <v>356</v>
      </c>
      <c r="C38" s="85">
        <f>SUM('Presupuesto detallado'!C38:E38)</f>
        <v>63298889.5</v>
      </c>
      <c r="D38" s="85">
        <f>+C38*50%</f>
        <v>31649444.75</v>
      </c>
      <c r="E38" s="85"/>
      <c r="F38" s="85">
        <f>+C38*50%</f>
        <v>31649444.75</v>
      </c>
      <c r="G38" s="85"/>
      <c r="H38" s="85">
        <v>0</v>
      </c>
      <c r="I38" s="85"/>
      <c r="J38" s="62">
        <f>SUM('Presupuesto detallado'!F38:O38)</f>
        <v>0</v>
      </c>
      <c r="K38" s="62">
        <v>0</v>
      </c>
      <c r="L38" s="62"/>
      <c r="M38" s="62">
        <v>0</v>
      </c>
      <c r="N38" s="62"/>
      <c r="O38" s="62">
        <v>0</v>
      </c>
      <c r="P38" s="62"/>
      <c r="Q38" s="62">
        <f>SUM('Presupuesto detallado'!P38:U38)</f>
        <v>0</v>
      </c>
      <c r="R38" s="62">
        <v>0</v>
      </c>
      <c r="S38" s="62"/>
      <c r="T38" s="62">
        <v>0</v>
      </c>
      <c r="U38" s="62"/>
      <c r="V38" s="62"/>
      <c r="W38" s="62"/>
      <c r="X38" s="62">
        <f t="shared" si="9"/>
        <v>63298889.5</v>
      </c>
      <c r="Y38" s="62">
        <f t="shared" si="7"/>
        <v>31649444.75</v>
      </c>
      <c r="Z38" s="62"/>
      <c r="AA38" s="62">
        <f t="shared" si="8"/>
        <v>31649444.75</v>
      </c>
      <c r="AB38" s="62"/>
      <c r="AC38" s="62"/>
      <c r="AD38" s="62"/>
    </row>
    <row r="39" spans="2:30" x14ac:dyDescent="0.2">
      <c r="B39" s="12" t="s">
        <v>357</v>
      </c>
      <c r="C39" s="85">
        <f>SUM('Presupuesto detallado'!C39:E39)</f>
        <v>60000000000</v>
      </c>
      <c r="D39" s="85">
        <v>0</v>
      </c>
      <c r="E39" s="85"/>
      <c r="F39" s="85">
        <v>0</v>
      </c>
      <c r="G39" s="85"/>
      <c r="H39" s="85">
        <v>0</v>
      </c>
      <c r="I39" s="85"/>
      <c r="J39" s="62">
        <f>SUM('Presupuesto detallado'!F39:O39)</f>
        <v>180000000000</v>
      </c>
      <c r="K39" s="62">
        <v>0</v>
      </c>
      <c r="L39" s="62"/>
      <c r="M39" s="62">
        <v>0</v>
      </c>
      <c r="N39" s="62"/>
      <c r="O39" s="62">
        <v>0</v>
      </c>
      <c r="P39" s="62"/>
      <c r="Q39" s="62">
        <f>SUM('Presupuesto detallado'!P39:U39)</f>
        <v>120000000000</v>
      </c>
      <c r="R39" s="62">
        <v>0</v>
      </c>
      <c r="S39" s="62"/>
      <c r="T39" s="62">
        <v>0</v>
      </c>
      <c r="U39" s="62"/>
      <c r="V39" s="62"/>
      <c r="W39" s="62"/>
      <c r="X39" s="62">
        <f t="shared" si="9"/>
        <v>360000000000</v>
      </c>
      <c r="Y39" s="62">
        <f t="shared" si="7"/>
        <v>0</v>
      </c>
      <c r="Z39" s="62"/>
      <c r="AA39" s="62">
        <f t="shared" si="8"/>
        <v>0</v>
      </c>
      <c r="AB39" s="62"/>
      <c r="AC39" s="62"/>
      <c r="AD39" s="62"/>
    </row>
    <row r="40" spans="2:30" s="89" customFormat="1" ht="24" x14ac:dyDescent="0.25">
      <c r="B40" s="9" t="s">
        <v>12</v>
      </c>
      <c r="C40" s="64">
        <f>SUM(C41:C47)</f>
        <v>270571947.69999999</v>
      </c>
      <c r="D40" s="64">
        <f>SUM(D41:D47)</f>
        <v>182571045.69999999</v>
      </c>
      <c r="E40" s="196">
        <f>+D40/C40</f>
        <v>0.67475969793597346</v>
      </c>
      <c r="F40" s="64">
        <f>SUM(F41:F47)</f>
        <v>88000902</v>
      </c>
      <c r="G40" s="196">
        <f>+F40/C40</f>
        <v>0.3252403020640266</v>
      </c>
      <c r="H40" s="64">
        <f>SUM(H41:H47)</f>
        <v>0</v>
      </c>
      <c r="I40" s="196">
        <f>+H40/E40</f>
        <v>0</v>
      </c>
      <c r="J40" s="64">
        <f t="shared" ref="J40:Q40" si="10">SUM(J41:J47)</f>
        <v>426634781093.09998</v>
      </c>
      <c r="K40" s="64">
        <f t="shared" si="10"/>
        <v>1538617182.8</v>
      </c>
      <c r="L40" s="196">
        <f>+K40/J40</f>
        <v>3.6064035352622687E-3</v>
      </c>
      <c r="M40" s="64">
        <f t="shared" si="10"/>
        <v>473016414.59999996</v>
      </c>
      <c r="N40" s="196">
        <f>+M40/J40</f>
        <v>1.1087150780066818E-3</v>
      </c>
      <c r="O40" s="64">
        <f>SUM(O41:O47)</f>
        <v>298798215.69999999</v>
      </c>
      <c r="P40" s="196">
        <f>+O40/J40</f>
        <v>7.0036065726857943E-4</v>
      </c>
      <c r="Q40" s="64">
        <f t="shared" si="10"/>
        <v>159216201123.70001</v>
      </c>
      <c r="R40" s="64"/>
      <c r="S40" s="64"/>
      <c r="T40" s="64"/>
      <c r="U40" s="64"/>
      <c r="V40" s="64"/>
      <c r="W40" s="64"/>
      <c r="X40" s="64">
        <f>SUM(X41:X47)</f>
        <v>586121554164.5</v>
      </c>
      <c r="Y40" s="64">
        <f>SUM(Y41:Y47)</f>
        <v>1815758372.2</v>
      </c>
      <c r="Z40" s="197">
        <f>+Y40/X40</f>
        <v>3.0979211723211803E-3</v>
      </c>
      <c r="AA40" s="64">
        <f>SUM(AA41:AA47)</f>
        <v>561017316.5999999</v>
      </c>
      <c r="AB40" s="196">
        <f>+AA40/X40</f>
        <v>9.5716888862706049E-4</v>
      </c>
      <c r="AC40" s="64">
        <f>SUM(AC41:AC47)</f>
        <v>298798215.69999999</v>
      </c>
      <c r="AD40" s="196">
        <f>+AC40/X40</f>
        <v>5.0978882038543792E-4</v>
      </c>
    </row>
    <row r="41" spans="2:30" ht="38.25" customHeight="1" x14ac:dyDescent="0.2">
      <c r="B41" s="12" t="s">
        <v>367</v>
      </c>
      <c r="C41" s="85">
        <f>SUM('Presupuesto detallado'!C41:E41)</f>
        <v>0</v>
      </c>
      <c r="D41" s="85">
        <v>0</v>
      </c>
      <c r="E41" s="85"/>
      <c r="F41" s="85">
        <v>0</v>
      </c>
      <c r="G41" s="85"/>
      <c r="H41" s="85">
        <v>0</v>
      </c>
      <c r="I41" s="85"/>
      <c r="J41" s="62">
        <f>SUM('Presupuesto detallado'!F41:O41)</f>
        <v>462660719</v>
      </c>
      <c r="K41" s="62">
        <f>+J41*40%</f>
        <v>185064287.60000002</v>
      </c>
      <c r="L41" s="62"/>
      <c r="M41" s="62">
        <f>+J41*30%</f>
        <v>138798215.69999999</v>
      </c>
      <c r="N41" s="62"/>
      <c r="O41" s="62">
        <f>+J41*30%</f>
        <v>138798215.69999999</v>
      </c>
      <c r="P41" s="62"/>
      <c r="Q41" s="62">
        <f>SUM('Presupuesto detallado'!P41:U41)</f>
        <v>0</v>
      </c>
      <c r="R41" s="62">
        <v>0</v>
      </c>
      <c r="S41" s="62"/>
      <c r="T41" s="62">
        <v>0</v>
      </c>
      <c r="U41" s="62"/>
      <c r="V41" s="62">
        <v>0</v>
      </c>
      <c r="W41" s="62"/>
      <c r="X41" s="62">
        <f t="shared" si="9"/>
        <v>462660719</v>
      </c>
      <c r="Y41" s="62">
        <f t="shared" ref="Y41:Y47" si="11">+D41+K41+R41</f>
        <v>185064287.60000002</v>
      </c>
      <c r="Z41" s="62"/>
      <c r="AA41" s="62">
        <f t="shared" ref="AA41:AA47" si="12">+F41+M41+T41</f>
        <v>138798215.69999999</v>
      </c>
      <c r="AB41" s="62"/>
      <c r="AC41" s="62">
        <f t="shared" ref="AC41:AC47" si="13">+H41+O41+V41</f>
        <v>138798215.69999999</v>
      </c>
      <c r="AD41" s="62"/>
    </row>
    <row r="42" spans="2:30" ht="25.5" customHeight="1" x14ac:dyDescent="0.2">
      <c r="B42" s="12" t="s">
        <v>368</v>
      </c>
      <c r="C42" s="85">
        <f>SUM('Presupuesto detallado'!C42:E42)</f>
        <v>0</v>
      </c>
      <c r="D42" s="85">
        <v>0</v>
      </c>
      <c r="E42" s="85"/>
      <c r="F42" s="85">
        <v>0</v>
      </c>
      <c r="G42" s="85"/>
      <c r="H42" s="85">
        <v>0</v>
      </c>
      <c r="I42" s="85"/>
      <c r="J42" s="62">
        <f>SUM('Presupuesto detallado'!F42:O42)</f>
        <v>314060663</v>
      </c>
      <c r="K42" s="62">
        <f>+J42*70%</f>
        <v>219842464.09999999</v>
      </c>
      <c r="L42" s="62"/>
      <c r="M42" s="62">
        <f>+J42*30%</f>
        <v>94218198.899999991</v>
      </c>
      <c r="N42" s="62"/>
      <c r="O42" s="62">
        <v>0</v>
      </c>
      <c r="P42" s="62"/>
      <c r="Q42" s="62">
        <f>SUM('Presupuesto detallado'!P42:U42)</f>
        <v>0</v>
      </c>
      <c r="R42" s="62">
        <v>0</v>
      </c>
      <c r="S42" s="62"/>
      <c r="T42" s="62">
        <v>0</v>
      </c>
      <c r="U42" s="62"/>
      <c r="V42" s="62">
        <v>0</v>
      </c>
      <c r="W42" s="62"/>
      <c r="X42" s="62">
        <f t="shared" si="9"/>
        <v>314060663</v>
      </c>
      <c r="Y42" s="62">
        <f t="shared" si="11"/>
        <v>219842464.09999999</v>
      </c>
      <c r="Z42" s="62"/>
      <c r="AA42" s="62">
        <f t="shared" si="12"/>
        <v>94218198.899999991</v>
      </c>
      <c r="AB42" s="62"/>
      <c r="AC42" s="62">
        <f t="shared" si="13"/>
        <v>0</v>
      </c>
      <c r="AD42" s="62"/>
    </row>
    <row r="43" spans="2:30" ht="24" x14ac:dyDescent="0.2">
      <c r="B43" s="12" t="s">
        <v>369</v>
      </c>
      <c r="C43" s="85">
        <f>SUM('Presupuesto detallado'!C43:E43)</f>
        <v>0</v>
      </c>
      <c r="D43" s="85">
        <v>0</v>
      </c>
      <c r="E43" s="85"/>
      <c r="F43" s="85">
        <v>0</v>
      </c>
      <c r="G43" s="85"/>
      <c r="H43" s="85">
        <v>0</v>
      </c>
      <c r="I43" s="85"/>
      <c r="J43" s="62">
        <f>SUM('Presupuesto detallado'!F43:O43)</f>
        <v>424324349280</v>
      </c>
      <c r="K43" s="62">
        <v>0</v>
      </c>
      <c r="L43" s="62"/>
      <c r="M43" s="62">
        <v>0</v>
      </c>
      <c r="N43" s="62"/>
      <c r="O43" s="62">
        <v>0</v>
      </c>
      <c r="P43" s="62"/>
      <c r="Q43" s="62">
        <f>SUM('Presupuesto detallado'!P43:U43)</f>
        <v>159121630980</v>
      </c>
      <c r="R43" s="62">
        <v>0</v>
      </c>
      <c r="S43" s="62"/>
      <c r="T43" s="62">
        <v>0</v>
      </c>
      <c r="U43" s="62"/>
      <c r="V43" s="62">
        <v>0</v>
      </c>
      <c r="W43" s="62"/>
      <c r="X43" s="62">
        <f t="shared" si="9"/>
        <v>583445980260</v>
      </c>
      <c r="Y43" s="62">
        <f t="shared" si="11"/>
        <v>0</v>
      </c>
      <c r="Z43" s="62"/>
      <c r="AA43" s="62">
        <f t="shared" si="12"/>
        <v>0</v>
      </c>
      <c r="AB43" s="62"/>
      <c r="AC43" s="62">
        <f t="shared" si="13"/>
        <v>0</v>
      </c>
      <c r="AD43" s="62"/>
    </row>
    <row r="44" spans="2:30" ht="29.25" customHeight="1" x14ac:dyDescent="0.2">
      <c r="B44" s="12" t="s">
        <v>370</v>
      </c>
      <c r="C44" s="85">
        <f>SUM('Presupuesto detallado'!C44:E44)</f>
        <v>0</v>
      </c>
      <c r="D44" s="85">
        <v>0</v>
      </c>
      <c r="E44" s="85"/>
      <c r="F44" s="85">
        <v>0</v>
      </c>
      <c r="G44" s="85"/>
      <c r="H44" s="85">
        <v>0</v>
      </c>
      <c r="I44" s="85"/>
      <c r="J44" s="62">
        <f>SUM('Presupuesto detallado'!F44:O44)</f>
        <v>450000000</v>
      </c>
      <c r="K44" s="62">
        <f>+J44</f>
        <v>450000000</v>
      </c>
      <c r="L44" s="62"/>
      <c r="M44" s="62">
        <v>0</v>
      </c>
      <c r="N44" s="62"/>
      <c r="O44" s="62">
        <v>0</v>
      </c>
      <c r="P44" s="62"/>
      <c r="Q44" s="62">
        <f>SUM('Presupuesto detallado'!P44:U44)</f>
        <v>0</v>
      </c>
      <c r="R44" s="62">
        <v>0</v>
      </c>
      <c r="S44" s="62"/>
      <c r="T44" s="62">
        <v>0</v>
      </c>
      <c r="U44" s="62"/>
      <c r="V44" s="62">
        <v>0</v>
      </c>
      <c r="W44" s="62"/>
      <c r="X44" s="62">
        <f t="shared" si="9"/>
        <v>450000000</v>
      </c>
      <c r="Y44" s="62">
        <f t="shared" si="11"/>
        <v>450000000</v>
      </c>
      <c r="Z44" s="62"/>
      <c r="AA44" s="62">
        <f t="shared" si="12"/>
        <v>0</v>
      </c>
      <c r="AB44" s="62"/>
      <c r="AC44" s="62">
        <f t="shared" si="13"/>
        <v>0</v>
      </c>
      <c r="AD44" s="62"/>
    </row>
    <row r="45" spans="2:30" ht="40.5" customHeight="1" x14ac:dyDescent="0.2">
      <c r="B45" s="12" t="s">
        <v>371</v>
      </c>
      <c r="C45" s="85">
        <f>SUM('Presupuesto detallado'!C45:E45)</f>
        <v>94570143.699999988</v>
      </c>
      <c r="D45" s="85">
        <f>+C45</f>
        <v>94570143.699999988</v>
      </c>
      <c r="E45" s="85"/>
      <c r="F45" s="85">
        <v>0</v>
      </c>
      <c r="G45" s="85"/>
      <c r="H45" s="85">
        <v>0</v>
      </c>
      <c r="I45" s="85"/>
      <c r="J45" s="62">
        <f>SUM('Presupuesto detallado'!F45:O45)</f>
        <v>283710431.09999996</v>
      </c>
      <c r="K45" s="62">
        <f>+J45</f>
        <v>283710431.09999996</v>
      </c>
      <c r="L45" s="62"/>
      <c r="M45" s="62">
        <v>0</v>
      </c>
      <c r="N45" s="62"/>
      <c r="O45" s="62">
        <v>0</v>
      </c>
      <c r="P45" s="62"/>
      <c r="Q45" s="62">
        <f>SUM('Presupuesto detallado'!P45:U45)</f>
        <v>94570143.699999988</v>
      </c>
      <c r="R45" s="62">
        <f>+Q45</f>
        <v>94570143.699999988</v>
      </c>
      <c r="S45" s="62"/>
      <c r="T45" s="62">
        <v>0</v>
      </c>
      <c r="U45" s="62"/>
      <c r="V45" s="62">
        <v>0</v>
      </c>
      <c r="W45" s="62"/>
      <c r="X45" s="62">
        <f t="shared" si="9"/>
        <v>472850718.49999994</v>
      </c>
      <c r="Y45" s="62">
        <f t="shared" si="11"/>
        <v>472850718.49999994</v>
      </c>
      <c r="Z45" s="62"/>
      <c r="AA45" s="62">
        <f t="shared" si="12"/>
        <v>0</v>
      </c>
      <c r="AB45" s="62"/>
      <c r="AC45" s="62">
        <f t="shared" si="13"/>
        <v>0</v>
      </c>
      <c r="AD45" s="62"/>
    </row>
    <row r="46" spans="2:30" ht="25.5" customHeight="1" x14ac:dyDescent="0.2">
      <c r="B46" s="12" t="s">
        <v>372</v>
      </c>
      <c r="C46" s="85">
        <f>SUM('Presupuesto detallado'!C46:E46)</f>
        <v>176001804</v>
      </c>
      <c r="D46" s="85">
        <f>+C46*50%</f>
        <v>88000902</v>
      </c>
      <c r="E46" s="85"/>
      <c r="F46" s="85">
        <f>+C46*50%</f>
        <v>88000902</v>
      </c>
      <c r="G46" s="85"/>
      <c r="H46" s="85">
        <v>0</v>
      </c>
      <c r="I46" s="85"/>
      <c r="J46" s="62">
        <f>SUM('Presupuesto detallado'!F46:O46)</f>
        <v>0</v>
      </c>
      <c r="K46" s="62">
        <v>0</v>
      </c>
      <c r="L46" s="62"/>
      <c r="M46" s="62">
        <v>0</v>
      </c>
      <c r="N46" s="62"/>
      <c r="O46" s="62">
        <v>0</v>
      </c>
      <c r="P46" s="62"/>
      <c r="Q46" s="62">
        <f>SUM('Presupuesto detallado'!P46:U46)</f>
        <v>0</v>
      </c>
      <c r="R46" s="62">
        <v>0</v>
      </c>
      <c r="S46" s="62"/>
      <c r="T46" s="62">
        <v>0</v>
      </c>
      <c r="U46" s="62"/>
      <c r="V46" s="62">
        <v>0</v>
      </c>
      <c r="W46" s="62"/>
      <c r="X46" s="62">
        <f t="shared" si="9"/>
        <v>176001804</v>
      </c>
      <c r="Y46" s="62">
        <f t="shared" si="11"/>
        <v>88000902</v>
      </c>
      <c r="Z46" s="62"/>
      <c r="AA46" s="62">
        <f t="shared" si="12"/>
        <v>88000902</v>
      </c>
      <c r="AB46" s="62"/>
      <c r="AC46" s="62">
        <f t="shared" si="13"/>
        <v>0</v>
      </c>
      <c r="AD46" s="62"/>
    </row>
    <row r="47" spans="2:30" ht="29.25" customHeight="1" x14ac:dyDescent="0.2">
      <c r="B47" s="12" t="s">
        <v>373</v>
      </c>
      <c r="C47" s="85">
        <f>SUM('Presupuesto detallado'!C47:E47)</f>
        <v>0</v>
      </c>
      <c r="D47" s="85">
        <v>0</v>
      </c>
      <c r="E47" s="85"/>
      <c r="F47" s="85">
        <v>0</v>
      </c>
      <c r="G47" s="85"/>
      <c r="H47" s="85">
        <v>0</v>
      </c>
      <c r="I47" s="85"/>
      <c r="J47" s="62">
        <f>SUM('Presupuesto detallado'!F47:O47)</f>
        <v>800000000</v>
      </c>
      <c r="K47" s="62">
        <f>+J47*50%</f>
        <v>400000000</v>
      </c>
      <c r="L47" s="62"/>
      <c r="M47" s="62">
        <f>+J47*30%</f>
        <v>240000000</v>
      </c>
      <c r="N47" s="62"/>
      <c r="O47" s="62">
        <f>+J47*20%</f>
        <v>160000000</v>
      </c>
      <c r="P47" s="62"/>
      <c r="Q47" s="62">
        <f>SUM('Presupuesto detallado'!P47:U47)</f>
        <v>0</v>
      </c>
      <c r="R47" s="62">
        <v>0</v>
      </c>
      <c r="S47" s="62"/>
      <c r="T47" s="62">
        <v>0</v>
      </c>
      <c r="U47" s="62"/>
      <c r="V47" s="62">
        <v>0</v>
      </c>
      <c r="W47" s="62"/>
      <c r="X47" s="62">
        <f t="shared" si="9"/>
        <v>800000000</v>
      </c>
      <c r="Y47" s="62">
        <f t="shared" si="11"/>
        <v>400000000</v>
      </c>
      <c r="Z47" s="62"/>
      <c r="AA47" s="62">
        <f t="shared" si="12"/>
        <v>240000000</v>
      </c>
      <c r="AB47" s="62"/>
      <c r="AC47" s="62">
        <f t="shared" si="13"/>
        <v>160000000</v>
      </c>
      <c r="AD47" s="62"/>
    </row>
    <row r="48" spans="2:30" s="89" customFormat="1" ht="15" customHeight="1" x14ac:dyDescent="0.25">
      <c r="B48" s="9" t="s">
        <v>13</v>
      </c>
      <c r="C48" s="64">
        <f>SUM(C49:C53)</f>
        <v>821640749.5</v>
      </c>
      <c r="D48" s="64">
        <f>SUM(D49:D53)</f>
        <v>277622541.80000001</v>
      </c>
      <c r="E48" s="196">
        <f>+D48/C48</f>
        <v>0.33788799054689533</v>
      </c>
      <c r="F48" s="64">
        <f>SUM(F49:F53)</f>
        <v>0</v>
      </c>
      <c r="G48" s="196">
        <f>+F48/C48</f>
        <v>0</v>
      </c>
      <c r="H48" s="64">
        <f>SUM(H49:H53)</f>
        <v>44018207.699999996</v>
      </c>
      <c r="I48" s="196">
        <f>+H48/C48</f>
        <v>5.3573545039954221E-2</v>
      </c>
      <c r="J48" s="64">
        <f>SUM(J49:J53)</f>
        <v>3593281499</v>
      </c>
      <c r="K48" s="64">
        <f>SUM(K49:K53)</f>
        <v>556448630.24000001</v>
      </c>
      <c r="L48" s="196">
        <f>+K48/J48</f>
        <v>0.15485806786772985</v>
      </c>
      <c r="M48" s="64">
        <f>SUM(M49:M53)</f>
        <v>536832868.75999999</v>
      </c>
      <c r="N48" s="196">
        <f>+M48/J48</f>
        <v>0.14939905735450981</v>
      </c>
      <c r="O48" s="64"/>
      <c r="P48" s="64"/>
      <c r="Q48" s="64">
        <f>SUM(Q49:Q53)</f>
        <v>0</v>
      </c>
      <c r="R48" s="64"/>
      <c r="S48" s="64"/>
      <c r="T48" s="64"/>
      <c r="U48" s="64"/>
      <c r="V48" s="64"/>
      <c r="W48" s="64"/>
      <c r="X48" s="64">
        <f>SUM(X49:X53)</f>
        <v>4414922248.5</v>
      </c>
      <c r="Y48" s="64">
        <f>SUM(Y49:Y53)</f>
        <v>834071172.03999996</v>
      </c>
      <c r="Z48" s="197">
        <f>+Y48/X48</f>
        <v>0.18892091980178843</v>
      </c>
      <c r="AA48" s="64">
        <f>SUM(AA49:AA53)</f>
        <v>536832868.75999999</v>
      </c>
      <c r="AB48" s="196">
        <f>+AA48/X48</f>
        <v>0.12159509013831277</v>
      </c>
      <c r="AC48" s="64">
        <f>SUM(AC49:AC53)</f>
        <v>44018207.699999996</v>
      </c>
      <c r="AD48" s="196">
        <f>+AC48/X48</f>
        <v>9.9703245544030782E-3</v>
      </c>
    </row>
    <row r="49" spans="2:30" ht="26.25" customHeight="1" x14ac:dyDescent="0.2">
      <c r="B49" s="12" t="s">
        <v>382</v>
      </c>
      <c r="C49" s="85">
        <f>SUM('Presupuesto detallado'!C49:E49)</f>
        <v>126727359</v>
      </c>
      <c r="D49" s="85">
        <f>+C49</f>
        <v>126727359</v>
      </c>
      <c r="E49" s="85"/>
      <c r="F49" s="85">
        <v>0</v>
      </c>
      <c r="G49" s="85"/>
      <c r="H49" s="85">
        <v>0</v>
      </c>
      <c r="I49" s="85"/>
      <c r="J49" s="62">
        <f>SUM('Presupuesto detallado'!F49:O49)</f>
        <v>253454718</v>
      </c>
      <c r="K49" s="62">
        <f>+J49*53%</f>
        <v>134331000.54000002</v>
      </c>
      <c r="L49" s="62"/>
      <c r="M49" s="62">
        <f>+J49*47%</f>
        <v>119123717.45999999</v>
      </c>
      <c r="N49" s="62"/>
      <c r="O49" s="62"/>
      <c r="P49" s="62"/>
      <c r="Q49" s="62">
        <f>SUM('Presupuesto detallado'!P49:U49)</f>
        <v>0</v>
      </c>
      <c r="R49" s="62">
        <v>0</v>
      </c>
      <c r="S49" s="62"/>
      <c r="T49" s="62"/>
      <c r="U49" s="62"/>
      <c r="V49" s="62"/>
      <c r="W49" s="62"/>
      <c r="X49" s="62">
        <f t="shared" si="9"/>
        <v>380182077</v>
      </c>
      <c r="Y49" s="62">
        <f>+D49+K49+R49</f>
        <v>261058359.54000002</v>
      </c>
      <c r="Z49" s="62"/>
      <c r="AA49" s="62">
        <f>+F49+M49+T49</f>
        <v>119123717.45999999</v>
      </c>
      <c r="AB49" s="62"/>
      <c r="AC49" s="62">
        <f>+H49+O49+V49</f>
        <v>0</v>
      </c>
      <c r="AD49" s="62"/>
    </row>
    <row r="50" spans="2:30" ht="27.75" customHeight="1" x14ac:dyDescent="0.2">
      <c r="B50" s="12" t="s">
        <v>383</v>
      </c>
      <c r="C50" s="85">
        <f>SUM('Presupuesto detallado'!C50:E50)</f>
        <v>146727359</v>
      </c>
      <c r="D50" s="85">
        <f>+C50*70%</f>
        <v>102709151.3</v>
      </c>
      <c r="E50" s="85"/>
      <c r="F50" s="85">
        <v>0</v>
      </c>
      <c r="G50" s="85"/>
      <c r="H50" s="85">
        <f>+C50*30%</f>
        <v>44018207.699999996</v>
      </c>
      <c r="I50" s="85"/>
      <c r="J50" s="62">
        <f>SUM('Presupuesto detallado'!F50:O50)</f>
        <v>293454718</v>
      </c>
      <c r="K50" s="62">
        <f>+J50*65%</f>
        <v>190745566.70000002</v>
      </c>
      <c r="L50" s="62"/>
      <c r="M50" s="62">
        <f>+J50*35%</f>
        <v>102709151.3</v>
      </c>
      <c r="N50" s="62"/>
      <c r="O50" s="62"/>
      <c r="P50" s="62"/>
      <c r="Q50" s="62">
        <f>SUM('Presupuesto detallado'!P50:U50)</f>
        <v>0</v>
      </c>
      <c r="R50" s="62">
        <v>0</v>
      </c>
      <c r="S50" s="62"/>
      <c r="T50" s="62"/>
      <c r="U50" s="62"/>
      <c r="V50" s="62"/>
      <c r="W50" s="62"/>
      <c r="X50" s="62">
        <f t="shared" si="9"/>
        <v>440182077</v>
      </c>
      <c r="Y50" s="62">
        <f>+D50+K50+R50</f>
        <v>293454718</v>
      </c>
      <c r="Z50" s="62"/>
      <c r="AA50" s="62">
        <f>+F50+M50+T50</f>
        <v>102709151.3</v>
      </c>
      <c r="AB50" s="62"/>
      <c r="AC50" s="62">
        <f>+H50+O50+V50</f>
        <v>44018207.699999996</v>
      </c>
      <c r="AD50" s="62"/>
    </row>
    <row r="51" spans="2:30" ht="40.5" customHeight="1" x14ac:dyDescent="0.2">
      <c r="B51" s="12" t="s">
        <v>384</v>
      </c>
      <c r="C51" s="85">
        <f>SUM('Presupuesto detallado'!C51:E51)</f>
        <v>48186031.5</v>
      </c>
      <c r="D51" s="85">
        <f>+C51</f>
        <v>48186031.5</v>
      </c>
      <c r="E51" s="85"/>
      <c r="F51" s="85">
        <v>0</v>
      </c>
      <c r="G51" s="85"/>
      <c r="H51" s="85">
        <v>0</v>
      </c>
      <c r="I51" s="85"/>
      <c r="J51" s="62">
        <f>SUM('Presupuesto detallado'!F51:O51)</f>
        <v>96372063</v>
      </c>
      <c r="K51" s="62">
        <f>+J51</f>
        <v>96372063</v>
      </c>
      <c r="L51" s="62"/>
      <c r="M51" s="62">
        <v>0</v>
      </c>
      <c r="N51" s="62"/>
      <c r="O51" s="62"/>
      <c r="P51" s="62"/>
      <c r="Q51" s="62">
        <f>SUM('Presupuesto detallado'!P51:U51)</f>
        <v>0</v>
      </c>
      <c r="R51" s="62">
        <v>0</v>
      </c>
      <c r="S51" s="62"/>
      <c r="T51" s="62"/>
      <c r="U51" s="62"/>
      <c r="V51" s="62"/>
      <c r="W51" s="62"/>
      <c r="X51" s="62">
        <f t="shared" si="9"/>
        <v>144558094.5</v>
      </c>
      <c r="Y51" s="62">
        <f>+D51+K51+R51</f>
        <v>144558094.5</v>
      </c>
      <c r="Z51" s="62"/>
      <c r="AA51" s="62">
        <f>+F51+M51+T51</f>
        <v>0</v>
      </c>
      <c r="AB51" s="62"/>
      <c r="AC51" s="62">
        <f>+H51+O51+V51</f>
        <v>0</v>
      </c>
      <c r="AD51" s="62"/>
    </row>
    <row r="52" spans="2:30" ht="26.25" customHeight="1" x14ac:dyDescent="0.2">
      <c r="B52" s="12" t="s">
        <v>385</v>
      </c>
      <c r="C52" s="85">
        <f>SUM('Presupuesto detallado'!C52:E52)</f>
        <v>500000000</v>
      </c>
      <c r="D52" s="85">
        <v>0</v>
      </c>
      <c r="E52" s="85"/>
      <c r="F52" s="85">
        <v>0</v>
      </c>
      <c r="G52" s="85"/>
      <c r="H52" s="85">
        <v>0</v>
      </c>
      <c r="I52" s="85"/>
      <c r="J52" s="62">
        <f>SUM('Presupuesto detallado'!F52:O52)</f>
        <v>2500000000</v>
      </c>
      <c r="K52" s="62">
        <v>0</v>
      </c>
      <c r="L52" s="62"/>
      <c r="M52" s="62"/>
      <c r="N52" s="62"/>
      <c r="O52" s="62"/>
      <c r="P52" s="62"/>
      <c r="Q52" s="62">
        <f>SUM('Presupuesto detallado'!P52:U52)</f>
        <v>0</v>
      </c>
      <c r="R52" s="62">
        <v>0</v>
      </c>
      <c r="S52" s="62"/>
      <c r="T52" s="62"/>
      <c r="U52" s="62"/>
      <c r="V52" s="62"/>
      <c r="W52" s="62"/>
      <c r="X52" s="62">
        <f t="shared" si="9"/>
        <v>3000000000</v>
      </c>
      <c r="Y52" s="62">
        <f>+D52+K52+R52</f>
        <v>0</v>
      </c>
      <c r="Z52" s="62"/>
      <c r="AA52" s="62">
        <f>+F52+M52+T52</f>
        <v>0</v>
      </c>
      <c r="AB52" s="62"/>
      <c r="AC52" s="62">
        <f>+H52+O52+V52</f>
        <v>0</v>
      </c>
      <c r="AD52" s="62"/>
    </row>
    <row r="53" spans="2:30" ht="29.25" customHeight="1" x14ac:dyDescent="0.2">
      <c r="B53" s="12" t="s">
        <v>386</v>
      </c>
      <c r="C53" s="85">
        <f>SUM('Presupuesto detallado'!C53:E53)</f>
        <v>0</v>
      </c>
      <c r="D53" s="85">
        <v>0</v>
      </c>
      <c r="E53" s="85"/>
      <c r="F53" s="85">
        <v>0</v>
      </c>
      <c r="G53" s="85"/>
      <c r="H53" s="85">
        <v>0</v>
      </c>
      <c r="I53" s="85"/>
      <c r="J53" s="62">
        <f>SUM('Presupuesto detallado'!F53:O53)</f>
        <v>450000000</v>
      </c>
      <c r="K53" s="62">
        <f>+J53*30%</f>
        <v>135000000</v>
      </c>
      <c r="L53" s="62"/>
      <c r="M53" s="62">
        <f>+J53*70%</f>
        <v>315000000</v>
      </c>
      <c r="N53" s="62"/>
      <c r="O53" s="62"/>
      <c r="P53" s="62"/>
      <c r="Q53" s="62">
        <f>SUM('Presupuesto detallado'!P53:U53)</f>
        <v>0</v>
      </c>
      <c r="R53" s="62">
        <v>0</v>
      </c>
      <c r="S53" s="62"/>
      <c r="T53" s="62"/>
      <c r="U53" s="62"/>
      <c r="V53" s="62"/>
      <c r="W53" s="62"/>
      <c r="X53" s="62">
        <f t="shared" si="9"/>
        <v>450000000</v>
      </c>
      <c r="Y53" s="62">
        <f>+D53+K53+R53</f>
        <v>135000000</v>
      </c>
      <c r="Z53" s="62"/>
      <c r="AA53" s="62">
        <f>+F53+M53+T53</f>
        <v>315000000</v>
      </c>
      <c r="AB53" s="62"/>
      <c r="AC53" s="62">
        <f>+H53+O53+V53</f>
        <v>0</v>
      </c>
      <c r="AD53" s="62"/>
    </row>
    <row r="54" spans="2:30" s="89" customFormat="1" ht="15" customHeight="1" x14ac:dyDescent="0.25">
      <c r="B54" s="8" t="s">
        <v>10</v>
      </c>
      <c r="C54" s="64" t="e">
        <f>+C60+C55+C68</f>
        <v>#REF!</v>
      </c>
      <c r="D54" s="64"/>
      <c r="E54" s="64"/>
      <c r="F54" s="64"/>
      <c r="G54" s="64"/>
      <c r="H54" s="64"/>
      <c r="I54" s="64"/>
      <c r="J54" s="64" t="e">
        <f>+J60+J55+J68</f>
        <v>#REF!</v>
      </c>
      <c r="K54" s="64"/>
      <c r="L54" s="64"/>
      <c r="M54" s="64"/>
      <c r="N54" s="64"/>
      <c r="O54" s="64"/>
      <c r="P54" s="64"/>
      <c r="Q54" s="64" t="e">
        <f>+Q60+Q55+Q68</f>
        <v>#REF!</v>
      </c>
      <c r="R54" s="64"/>
      <c r="S54" s="64"/>
      <c r="T54" s="64"/>
      <c r="U54" s="64"/>
      <c r="V54" s="64"/>
      <c r="W54" s="64"/>
      <c r="X54" s="64" t="e">
        <f>+X55+X60+X68</f>
        <v>#REF!</v>
      </c>
      <c r="Y54" s="64" t="e">
        <f>+Y55+Y60+Y68</f>
        <v>#REF!</v>
      </c>
      <c r="Z54" s="64"/>
      <c r="AA54" s="64">
        <f>+AA55+AA60+AA68</f>
        <v>1267506122.25</v>
      </c>
      <c r="AB54" s="64"/>
      <c r="AC54" s="64">
        <f>+AC55+AC60+AC68</f>
        <v>0</v>
      </c>
      <c r="AD54" s="64"/>
    </row>
    <row r="55" spans="2:30" s="89" customFormat="1" ht="13.5" customHeight="1" x14ac:dyDescent="0.25">
      <c r="B55" s="9" t="s">
        <v>392</v>
      </c>
      <c r="C55" s="64">
        <f>SUM(C56:C59)</f>
        <v>3409686639</v>
      </c>
      <c r="D55" s="64">
        <f>SUM(D56:D59)</f>
        <v>2895716266.5999999</v>
      </c>
      <c r="E55" s="196">
        <f>+D55/C55</f>
        <v>0.84926169856161959</v>
      </c>
      <c r="F55" s="64">
        <f>SUM(F56:F60)</f>
        <v>600071161.64999998</v>
      </c>
      <c r="G55" s="196">
        <f>+F55/C55</f>
        <v>0.1759901202610191</v>
      </c>
      <c r="H55" s="64">
        <f>SUM(H56:H60)</f>
        <v>0</v>
      </c>
      <c r="I55" s="196">
        <f>+H55/C55</f>
        <v>0</v>
      </c>
      <c r="J55" s="64">
        <f>SUM(J56:J59)</f>
        <v>14134918595</v>
      </c>
      <c r="K55" s="64">
        <f>SUM(K56:K59)</f>
        <v>890004510</v>
      </c>
      <c r="L55" s="196">
        <f>+K55/J55</f>
        <v>6.2964954769164694E-2</v>
      </c>
      <c r="M55" s="64">
        <f>SUM(M56:M60)</f>
        <v>597601353</v>
      </c>
      <c r="N55" s="196">
        <f>+M55/J55</f>
        <v>4.2278372456378478E-2</v>
      </c>
      <c r="O55" s="64">
        <f>SUM(O56:O60)</f>
        <v>0</v>
      </c>
      <c r="P55" s="196">
        <f>+O55/J55</f>
        <v>0</v>
      </c>
      <c r="Q55" s="64">
        <f>SUM(Q56:Q59)</f>
        <v>7551948451</v>
      </c>
      <c r="R55" s="64"/>
      <c r="S55" s="64"/>
      <c r="T55" s="64"/>
      <c r="U55" s="64"/>
      <c r="V55" s="64"/>
      <c r="W55" s="64"/>
      <c r="X55" s="64">
        <f>SUM(X56:X59)</f>
        <v>25096553685</v>
      </c>
      <c r="Y55" s="64">
        <f>SUM(Y56:Y59)</f>
        <v>3785720776.5999999</v>
      </c>
      <c r="Z55" s="197">
        <f>+Y55/X55</f>
        <v>0.15084624064788199</v>
      </c>
      <c r="AA55" s="64">
        <f>SUM(AA56:AA59)</f>
        <v>963970372.39999998</v>
      </c>
      <c r="AB55" s="196">
        <f>+AA55/X55</f>
        <v>3.8410468006854541E-2</v>
      </c>
      <c r="AC55" s="64"/>
      <c r="AD55" s="64"/>
    </row>
    <row r="56" spans="2:30" ht="26.25" customHeight="1" x14ac:dyDescent="0.2">
      <c r="B56" s="12" t="s">
        <v>393</v>
      </c>
      <c r="C56" s="85">
        <f>SUM('Presupuesto detallado'!C56:E56)</f>
        <v>412702920</v>
      </c>
      <c r="D56" s="85">
        <f>+C56*53%</f>
        <v>218732547.60000002</v>
      </c>
      <c r="E56" s="85"/>
      <c r="F56" s="85">
        <f>+C56*47%</f>
        <v>193970372.39999998</v>
      </c>
      <c r="G56" s="85"/>
      <c r="H56" s="85"/>
      <c r="I56" s="85"/>
      <c r="J56" s="62">
        <f>SUM('Presupuesto detallado'!F56:O56)</f>
        <v>900000000</v>
      </c>
      <c r="K56" s="62">
        <f>+J56*50%</f>
        <v>450000000</v>
      </c>
      <c r="L56" s="62"/>
      <c r="M56" s="62">
        <f>+J56*50%</f>
        <v>450000000</v>
      </c>
      <c r="N56" s="62"/>
      <c r="O56" s="62"/>
      <c r="P56" s="62"/>
      <c r="Q56" s="62">
        <f>SUM('Presupuesto detallado'!P56:U56)</f>
        <v>0</v>
      </c>
      <c r="R56" s="62"/>
      <c r="S56" s="62"/>
      <c r="T56" s="62"/>
      <c r="U56" s="62"/>
      <c r="V56" s="62"/>
      <c r="W56" s="62"/>
      <c r="X56" s="62">
        <f>+Q56+J56+C56</f>
        <v>1312702920</v>
      </c>
      <c r="Y56" s="62">
        <f>+D56+K56+R56</f>
        <v>668732547.60000002</v>
      </c>
      <c r="Z56" s="62"/>
      <c r="AA56" s="62">
        <f>+F56+M56+T56</f>
        <v>643970372.39999998</v>
      </c>
      <c r="AB56" s="62"/>
      <c r="AC56" s="62"/>
      <c r="AD56" s="62"/>
    </row>
    <row r="57" spans="2:30" ht="28.5" customHeight="1" x14ac:dyDescent="0.2">
      <c r="B57" s="12" t="s">
        <v>394</v>
      </c>
      <c r="C57" s="85">
        <f>SUM('Presupuesto detallado'!C57:E57)</f>
        <v>2508982817</v>
      </c>
      <c r="D57" s="85">
        <f>+C57</f>
        <v>2508982817</v>
      </c>
      <c r="E57" s="85"/>
      <c r="F57" s="85">
        <v>0</v>
      </c>
      <c r="G57" s="85"/>
      <c r="H57" s="85"/>
      <c r="I57" s="85"/>
      <c r="J57" s="62">
        <f>SUM('Presupuesto detallado'!F57:O57)</f>
        <v>12544914085</v>
      </c>
      <c r="K57" s="62">
        <v>0</v>
      </c>
      <c r="L57" s="62"/>
      <c r="M57" s="62">
        <v>0</v>
      </c>
      <c r="N57" s="62"/>
      <c r="O57" s="62"/>
      <c r="P57" s="62"/>
      <c r="Q57" s="62">
        <f>SUM('Presupuesto detallado'!P57:U57)</f>
        <v>7526948451</v>
      </c>
      <c r="R57" s="62"/>
      <c r="S57" s="62"/>
      <c r="T57" s="62"/>
      <c r="U57" s="62"/>
      <c r="V57" s="62"/>
      <c r="W57" s="62"/>
      <c r="X57" s="62">
        <f>+Q57+J57+C57</f>
        <v>22580845353</v>
      </c>
      <c r="Y57" s="62">
        <f>+D57+K57+R57</f>
        <v>2508982817</v>
      </c>
      <c r="Z57" s="62"/>
      <c r="AA57" s="62">
        <f>+F57+M57+T57</f>
        <v>0</v>
      </c>
      <c r="AB57" s="62"/>
      <c r="AC57" s="62"/>
      <c r="AD57" s="62"/>
    </row>
    <row r="58" spans="2:30" ht="39" customHeight="1" x14ac:dyDescent="0.2">
      <c r="B58" s="12" t="s">
        <v>396</v>
      </c>
      <c r="C58" s="85">
        <f>SUM('Presupuesto detallado'!C58:E58)</f>
        <v>400000000</v>
      </c>
      <c r="D58" s="85">
        <f>+C58*20%</f>
        <v>80000000</v>
      </c>
      <c r="E58" s="85"/>
      <c r="F58" s="85">
        <f>+C58*80%</f>
        <v>320000000</v>
      </c>
      <c r="G58" s="85"/>
      <c r="H58" s="85"/>
      <c r="I58" s="85"/>
      <c r="J58" s="62">
        <f>SUM('Presupuesto detallado'!F58:O58)</f>
        <v>250000000</v>
      </c>
      <c r="K58" s="62">
        <v>0</v>
      </c>
      <c r="L58" s="62"/>
      <c r="M58" s="62">
        <v>0</v>
      </c>
      <c r="N58" s="62"/>
      <c r="O58" s="62"/>
      <c r="P58" s="62"/>
      <c r="Q58" s="62">
        <f>SUM('Presupuesto detallado'!P58:U58)</f>
        <v>25000000</v>
      </c>
      <c r="R58" s="62"/>
      <c r="S58" s="62"/>
      <c r="T58" s="62"/>
      <c r="U58" s="62"/>
      <c r="V58" s="62"/>
      <c r="W58" s="62"/>
      <c r="X58" s="62">
        <f>+Q58+J58+C58</f>
        <v>675000000</v>
      </c>
      <c r="Y58" s="62">
        <f>+D58+K58+R58</f>
        <v>80000000</v>
      </c>
      <c r="Z58" s="62"/>
      <c r="AA58" s="62">
        <f>+F58+M58+T58</f>
        <v>320000000</v>
      </c>
      <c r="AB58" s="62"/>
      <c r="AC58" s="62"/>
      <c r="AD58" s="62"/>
    </row>
    <row r="59" spans="2:30" ht="17.25" customHeight="1" x14ac:dyDescent="0.2">
      <c r="B59" s="12" t="s">
        <v>395</v>
      </c>
      <c r="C59" s="85">
        <f>SUM('Presupuesto detallado'!C59:E59)</f>
        <v>88000902</v>
      </c>
      <c r="D59" s="85">
        <f>+C59</f>
        <v>88000902</v>
      </c>
      <c r="E59" s="85"/>
      <c r="F59" s="85">
        <v>0</v>
      </c>
      <c r="G59" s="85"/>
      <c r="H59" s="85"/>
      <c r="I59" s="85"/>
      <c r="J59" s="62">
        <f>SUM('Presupuesto detallado'!F59:O59)</f>
        <v>440004510</v>
      </c>
      <c r="K59" s="62">
        <f>+J59</f>
        <v>440004510</v>
      </c>
      <c r="L59" s="62"/>
      <c r="M59" s="62"/>
      <c r="N59" s="62"/>
      <c r="O59" s="62"/>
      <c r="P59" s="62"/>
      <c r="Q59" s="62">
        <f>SUM('Presupuesto detallado'!P59:U59)</f>
        <v>0</v>
      </c>
      <c r="R59" s="62"/>
      <c r="S59" s="62"/>
      <c r="T59" s="62"/>
      <c r="U59" s="62"/>
      <c r="V59" s="62"/>
      <c r="W59" s="62"/>
      <c r="X59" s="62">
        <f>+Q59+J59+C59</f>
        <v>528005412</v>
      </c>
      <c r="Y59" s="62">
        <f>+D59+K59+R59</f>
        <v>528005412</v>
      </c>
      <c r="Z59" s="62"/>
      <c r="AA59" s="62">
        <f>+F59+M59+T59</f>
        <v>0</v>
      </c>
      <c r="AB59" s="62"/>
      <c r="AC59" s="62"/>
      <c r="AD59" s="62"/>
    </row>
    <row r="60" spans="2:30" s="89" customFormat="1" ht="18" customHeight="1" x14ac:dyDescent="0.25">
      <c r="B60" s="9" t="s">
        <v>401</v>
      </c>
      <c r="C60" s="64" t="e">
        <f>SUM(C61:C67)</f>
        <v>#REF!</v>
      </c>
      <c r="D60" s="64" t="e">
        <f>SUM(D61:D67)</f>
        <v>#REF!</v>
      </c>
      <c r="E60" s="196" t="e">
        <f>+D60/C60</f>
        <v>#REF!</v>
      </c>
      <c r="F60" s="64">
        <f>SUM(F61:F67)</f>
        <v>86100789.25</v>
      </c>
      <c r="G60" s="196" t="e">
        <f>+F60/C60</f>
        <v>#REF!</v>
      </c>
      <c r="H60" s="64">
        <f>SUM(H61:H67)</f>
        <v>0</v>
      </c>
      <c r="I60" s="196" t="e">
        <f>+H60/C60</f>
        <v>#REF!</v>
      </c>
      <c r="J60" s="64" t="e">
        <f t="shared" ref="J60:Q60" si="14">SUM(J61:J67)</f>
        <v>#REF!</v>
      </c>
      <c r="K60" s="64" t="e">
        <f t="shared" si="14"/>
        <v>#REF!</v>
      </c>
      <c r="L60" s="196" t="e">
        <f>+K60/J60</f>
        <v>#REF!</v>
      </c>
      <c r="M60" s="64">
        <f t="shared" si="14"/>
        <v>147601353</v>
      </c>
      <c r="N60" s="196" t="e">
        <f>+M60/J60</f>
        <v>#REF!</v>
      </c>
      <c r="O60" s="64"/>
      <c r="P60" s="64"/>
      <c r="Q60" s="64" t="e">
        <f t="shared" si="14"/>
        <v>#REF!</v>
      </c>
      <c r="R60" s="64"/>
      <c r="S60" s="64"/>
      <c r="T60" s="64"/>
      <c r="U60" s="64"/>
      <c r="V60" s="64"/>
      <c r="W60" s="64"/>
      <c r="X60" s="64" t="e">
        <f>SUM(X61:X67)</f>
        <v>#REF!</v>
      </c>
      <c r="Y60" s="64" t="e">
        <f>SUM(Y61:Y67)</f>
        <v>#REF!</v>
      </c>
      <c r="Z60" s="197" t="e">
        <f>+Y60/X60</f>
        <v>#REF!</v>
      </c>
      <c r="AA60" s="64">
        <f>SUM(AA61:AA67)</f>
        <v>233702142.25</v>
      </c>
      <c r="AB60" s="196" t="e">
        <f>+AA60/X60</f>
        <v>#REF!</v>
      </c>
      <c r="AC60" s="64"/>
      <c r="AD60" s="64"/>
    </row>
    <row r="61" spans="2:30" x14ac:dyDescent="0.2">
      <c r="B61" s="12" t="s">
        <v>402</v>
      </c>
      <c r="C61" s="85">
        <f>SUM('Presupuesto detallado'!C61:E61)</f>
        <v>48540101</v>
      </c>
      <c r="D61" s="85">
        <f>+C61</f>
        <v>48540101</v>
      </c>
      <c r="E61" s="85"/>
      <c r="F61" s="85"/>
      <c r="G61" s="85"/>
      <c r="H61" s="85"/>
      <c r="I61" s="85"/>
      <c r="J61" s="62">
        <f>SUM('Presupuesto detallado'!F61:O61)</f>
        <v>242700505</v>
      </c>
      <c r="K61" s="62">
        <v>0</v>
      </c>
      <c r="L61" s="62"/>
      <c r="M61" s="62"/>
      <c r="N61" s="62"/>
      <c r="O61" s="62"/>
      <c r="P61" s="62"/>
      <c r="Q61" s="62">
        <f>SUM('Presupuesto detallado'!P61:U61)</f>
        <v>145620303</v>
      </c>
      <c r="R61" s="62"/>
      <c r="S61" s="62"/>
      <c r="T61" s="62"/>
      <c r="U61" s="62"/>
      <c r="V61" s="62"/>
      <c r="W61" s="62"/>
      <c r="X61" s="62">
        <f t="shared" ref="X61:X67" si="15">+Q61+J61+C61</f>
        <v>436860909</v>
      </c>
      <c r="Y61" s="62">
        <f t="shared" ref="Y61:Y67" si="16">+D61+K61+R61</f>
        <v>48540101</v>
      </c>
      <c r="Z61" s="62"/>
      <c r="AA61" s="62">
        <f t="shared" ref="AA61:AA67" si="17">+F61+M61+T61</f>
        <v>0</v>
      </c>
      <c r="AB61" s="62"/>
      <c r="AC61" s="62"/>
      <c r="AD61" s="62"/>
    </row>
    <row r="62" spans="2:30" x14ac:dyDescent="0.2">
      <c r="B62" s="12" t="s">
        <v>403</v>
      </c>
      <c r="C62" s="85">
        <f>SUM('Presupuesto detallado'!C62:E62)</f>
        <v>220002255</v>
      </c>
      <c r="D62" s="85">
        <f>+C62</f>
        <v>220002255</v>
      </c>
      <c r="E62" s="85"/>
      <c r="F62" s="85"/>
      <c r="G62" s="85"/>
      <c r="H62" s="85"/>
      <c r="I62" s="85"/>
      <c r="J62" s="62">
        <f>SUM('Presupuesto detallado'!F62:O62)</f>
        <v>1100011275</v>
      </c>
      <c r="K62" s="62">
        <v>0</v>
      </c>
      <c r="L62" s="62"/>
      <c r="M62" s="62"/>
      <c r="N62" s="62"/>
      <c r="O62" s="62"/>
      <c r="P62" s="62"/>
      <c r="Q62" s="62">
        <f>SUM('Presupuesto detallado'!P62:U62)</f>
        <v>660006765</v>
      </c>
      <c r="R62" s="62"/>
      <c r="S62" s="62"/>
      <c r="T62" s="62"/>
      <c r="U62" s="62"/>
      <c r="V62" s="62"/>
      <c r="W62" s="62"/>
      <c r="X62" s="62">
        <f t="shared" si="15"/>
        <v>1980020295</v>
      </c>
      <c r="Y62" s="62">
        <f t="shared" si="16"/>
        <v>220002255</v>
      </c>
      <c r="Z62" s="62"/>
      <c r="AA62" s="62">
        <f t="shared" si="17"/>
        <v>0</v>
      </c>
      <c r="AB62" s="62"/>
      <c r="AC62" s="62"/>
      <c r="AD62" s="62"/>
    </row>
    <row r="63" spans="2:30" ht="28.5" customHeight="1" x14ac:dyDescent="0.2">
      <c r="B63" s="12" t="s">
        <v>404</v>
      </c>
      <c r="C63" s="85">
        <f>SUM('Presupuesto detallado'!C63:E63)</f>
        <v>246002255</v>
      </c>
      <c r="D63" s="85">
        <f>+C63*65%</f>
        <v>159901465.75</v>
      </c>
      <c r="E63" s="85"/>
      <c r="F63" s="85">
        <f>+C63*35%</f>
        <v>86100789.25</v>
      </c>
      <c r="G63" s="85"/>
      <c r="H63" s="85"/>
      <c r="I63" s="85"/>
      <c r="J63" s="62">
        <f>SUM('Presupuesto detallado'!F63:O63)</f>
        <v>369003382.5</v>
      </c>
      <c r="K63" s="62">
        <f>+J63*60%</f>
        <v>221402029.5</v>
      </c>
      <c r="L63" s="62"/>
      <c r="M63" s="62">
        <f>+J63*40%</f>
        <v>147601353</v>
      </c>
      <c r="N63" s="62"/>
      <c r="O63" s="62"/>
      <c r="P63" s="62"/>
      <c r="Q63" s="62">
        <f>SUM('Presupuesto detallado'!P63:U63)</f>
        <v>0</v>
      </c>
      <c r="R63" s="62"/>
      <c r="S63" s="62"/>
      <c r="T63" s="62"/>
      <c r="U63" s="62"/>
      <c r="V63" s="62"/>
      <c r="W63" s="62"/>
      <c r="X63" s="62">
        <f t="shared" si="15"/>
        <v>615005637.5</v>
      </c>
      <c r="Y63" s="62">
        <f t="shared" si="16"/>
        <v>381303495.25</v>
      </c>
      <c r="Z63" s="62"/>
      <c r="AA63" s="62">
        <f t="shared" si="17"/>
        <v>233702142.25</v>
      </c>
      <c r="AB63" s="62"/>
      <c r="AC63" s="62"/>
      <c r="AD63" s="62"/>
    </row>
    <row r="64" spans="2:30" ht="29.25" customHeight="1" x14ac:dyDescent="0.2">
      <c r="B64" s="12" t="s">
        <v>405</v>
      </c>
      <c r="C64" s="85">
        <f>SUM('Presupuesto detallado'!C64:E64)</f>
        <v>457124858</v>
      </c>
      <c r="D64" s="85">
        <f>+C64</f>
        <v>457124858</v>
      </c>
      <c r="E64" s="85"/>
      <c r="F64" s="85"/>
      <c r="G64" s="85"/>
      <c r="H64" s="85"/>
      <c r="I64" s="85"/>
      <c r="J64" s="62">
        <f>SUM('Presupuesto detallado'!F64:O64)</f>
        <v>2285624290</v>
      </c>
      <c r="K64" s="62"/>
      <c r="L64" s="62"/>
      <c r="M64" s="62"/>
      <c r="N64" s="62"/>
      <c r="O64" s="62"/>
      <c r="P64" s="62"/>
      <c r="Q64" s="62">
        <f>SUM('Presupuesto detallado'!P64:U64)</f>
        <v>1371374574</v>
      </c>
      <c r="R64" s="62"/>
      <c r="S64" s="62"/>
      <c r="T64" s="62"/>
      <c r="U64" s="62"/>
      <c r="V64" s="62"/>
      <c r="W64" s="62"/>
      <c r="X64" s="62">
        <f t="shared" si="15"/>
        <v>4114123722</v>
      </c>
      <c r="Y64" s="62">
        <f t="shared" si="16"/>
        <v>457124858</v>
      </c>
      <c r="Z64" s="62"/>
      <c r="AA64" s="62">
        <f t="shared" si="17"/>
        <v>0</v>
      </c>
      <c r="AB64" s="62"/>
      <c r="AC64" s="62"/>
      <c r="AD64" s="62"/>
    </row>
    <row r="65" spans="2:30" ht="38.25" customHeight="1" x14ac:dyDescent="0.2">
      <c r="B65" s="12" t="s">
        <v>406</v>
      </c>
      <c r="C65" s="85">
        <f>SUM('Presupuesto detallado'!C65:E65)</f>
        <v>260001127.5</v>
      </c>
      <c r="D65" s="85">
        <f>+C65</f>
        <v>260001127.5</v>
      </c>
      <c r="E65" s="85"/>
      <c r="F65" s="85"/>
      <c r="G65" s="85"/>
      <c r="H65" s="85"/>
      <c r="I65" s="85"/>
      <c r="J65" s="62">
        <f>SUM('Presupuesto detallado'!F65:O65)</f>
        <v>0</v>
      </c>
      <c r="K65" s="62"/>
      <c r="L65" s="62"/>
      <c r="M65" s="62"/>
      <c r="N65" s="62"/>
      <c r="O65" s="62"/>
      <c r="P65" s="62"/>
      <c r="Q65" s="62">
        <f>SUM('Presupuesto detallado'!P65:U65)</f>
        <v>0</v>
      </c>
      <c r="R65" s="62"/>
      <c r="S65" s="62"/>
      <c r="T65" s="62"/>
      <c r="U65" s="62"/>
      <c r="V65" s="62"/>
      <c r="W65" s="62"/>
      <c r="X65" s="62">
        <f t="shared" si="15"/>
        <v>260001127.5</v>
      </c>
      <c r="Y65" s="62">
        <f t="shared" si="16"/>
        <v>260001127.5</v>
      </c>
      <c r="Z65" s="62"/>
      <c r="AA65" s="62">
        <f t="shared" si="17"/>
        <v>0</v>
      </c>
      <c r="AB65" s="62"/>
      <c r="AC65" s="62"/>
      <c r="AD65" s="62"/>
    </row>
    <row r="66" spans="2:30" ht="32.25" customHeight="1" x14ac:dyDescent="0.2">
      <c r="B66" s="12" t="s">
        <v>407</v>
      </c>
      <c r="C66" s="85">
        <f>SUM('Presupuesto detallado'!C66:E66)</f>
        <v>2245283010</v>
      </c>
      <c r="D66" s="85">
        <f>+C66</f>
        <v>2245283010</v>
      </c>
      <c r="E66" s="85"/>
      <c r="F66" s="85"/>
      <c r="G66" s="85"/>
      <c r="H66" s="85"/>
      <c r="I66" s="85"/>
      <c r="J66" s="62">
        <f>SUM('Presupuesto detallado'!F66:O66)</f>
        <v>11226415050</v>
      </c>
      <c r="K66" s="62"/>
      <c r="L66" s="62"/>
      <c r="M66" s="62"/>
      <c r="N66" s="62"/>
      <c r="O66" s="62"/>
      <c r="P66" s="62"/>
      <c r="Q66" s="62">
        <f>SUM('Presupuesto detallado'!P66:U66)</f>
        <v>6735849030</v>
      </c>
      <c r="R66" s="62"/>
      <c r="S66" s="62"/>
      <c r="T66" s="62"/>
      <c r="U66" s="62"/>
      <c r="V66" s="62"/>
      <c r="W66" s="62"/>
      <c r="X66" s="62">
        <f t="shared" si="15"/>
        <v>20207547090</v>
      </c>
      <c r="Y66" s="62">
        <f t="shared" si="16"/>
        <v>2245283010</v>
      </c>
      <c r="Z66" s="62"/>
      <c r="AA66" s="62">
        <f t="shared" si="17"/>
        <v>0</v>
      </c>
      <c r="AB66" s="62"/>
      <c r="AC66" s="62"/>
      <c r="AD66" s="62"/>
    </row>
    <row r="67" spans="2:30" ht="36" x14ac:dyDescent="0.2">
      <c r="B67" s="12" t="s">
        <v>408</v>
      </c>
      <c r="C67" s="85" t="e">
        <f>SUM('Presupuesto detallado'!#REF!)</f>
        <v>#REF!</v>
      </c>
      <c r="D67" s="85" t="e">
        <f>+C67</f>
        <v>#REF!</v>
      </c>
      <c r="E67" s="85"/>
      <c r="F67" s="85"/>
      <c r="G67" s="85"/>
      <c r="H67" s="85"/>
      <c r="I67" s="85"/>
      <c r="J67" s="62" t="e">
        <f>SUM('Presupuesto detallado'!#REF!)</f>
        <v>#REF!</v>
      </c>
      <c r="K67" s="62" t="e">
        <f>+J67</f>
        <v>#REF!</v>
      </c>
      <c r="L67" s="62"/>
      <c r="M67" s="62"/>
      <c r="N67" s="62"/>
      <c r="O67" s="62"/>
      <c r="P67" s="62"/>
      <c r="Q67" s="62" t="e">
        <f>SUM('Presupuesto detallado'!#REF!)</f>
        <v>#REF!</v>
      </c>
      <c r="R67" s="62"/>
      <c r="S67" s="62"/>
      <c r="T67" s="62"/>
      <c r="U67" s="62"/>
      <c r="V67" s="62"/>
      <c r="W67" s="62"/>
      <c r="X67" s="62" t="e">
        <f t="shared" si="15"/>
        <v>#REF!</v>
      </c>
      <c r="Y67" s="62" t="e">
        <f t="shared" si="16"/>
        <v>#REF!</v>
      </c>
      <c r="Z67" s="62"/>
      <c r="AA67" s="62">
        <f t="shared" si="17"/>
        <v>0</v>
      </c>
      <c r="AB67" s="62"/>
      <c r="AC67" s="62"/>
      <c r="AD67" s="62"/>
    </row>
    <row r="68" spans="2:30" s="89" customFormat="1" ht="18" customHeight="1" x14ac:dyDescent="0.25">
      <c r="B68" s="9" t="s">
        <v>14</v>
      </c>
      <c r="C68" s="64">
        <f>SUM(C69:C72)</f>
        <v>0</v>
      </c>
      <c r="D68" s="64"/>
      <c r="E68" s="64"/>
      <c r="F68" s="64"/>
      <c r="G68" s="64"/>
      <c r="H68" s="64"/>
      <c r="I68" s="64"/>
      <c r="J68" s="64">
        <f>SUM(J69:J72)</f>
        <v>1197302640</v>
      </c>
      <c r="K68" s="64">
        <f>SUM(K69:K72)</f>
        <v>1127469032.4000001</v>
      </c>
      <c r="L68" s="196">
        <f>+K68/J68</f>
        <v>0.9416742223169241</v>
      </c>
      <c r="M68" s="64">
        <f>SUM(M69:M72)</f>
        <v>69833607.599999994</v>
      </c>
      <c r="N68" s="196">
        <f>+M68/J68</f>
        <v>5.8325777683076015E-2</v>
      </c>
      <c r="O68" s="64"/>
      <c r="P68" s="64"/>
      <c r="Q68" s="64">
        <f>SUM(Q69:Q72)</f>
        <v>0</v>
      </c>
      <c r="R68" s="64"/>
      <c r="S68" s="64"/>
      <c r="T68" s="64"/>
      <c r="U68" s="64"/>
      <c r="V68" s="64"/>
      <c r="W68" s="64"/>
      <c r="X68" s="64">
        <f>SUM(X69:X72)</f>
        <v>1197302640</v>
      </c>
      <c r="Y68" s="64">
        <f>SUM(Y69:Y72)</f>
        <v>1127469032.4000001</v>
      </c>
      <c r="Z68" s="197">
        <f>+Y68/X68</f>
        <v>0.9416742223169241</v>
      </c>
      <c r="AA68" s="64">
        <f>SUM(AA69:AA72)</f>
        <v>69833607.599999994</v>
      </c>
      <c r="AB68" s="196">
        <f>+AA68/X68</f>
        <v>5.8325777683076015E-2</v>
      </c>
      <c r="AC68" s="64"/>
      <c r="AD68" s="64"/>
    </row>
    <row r="69" spans="2:30" ht="26.25" customHeight="1" x14ac:dyDescent="0.2">
      <c r="B69" s="12" t="s">
        <v>409</v>
      </c>
      <c r="C69" s="85">
        <f>SUM('Presupuesto detallado'!C75:E75)</f>
        <v>0</v>
      </c>
      <c r="D69" s="85"/>
      <c r="E69" s="85"/>
      <c r="F69" s="85"/>
      <c r="G69" s="85"/>
      <c r="H69" s="85"/>
      <c r="I69" s="85"/>
      <c r="J69" s="62">
        <f>SUM('Presupuesto detallado'!F75:O75)</f>
        <v>46105740</v>
      </c>
      <c r="K69" s="62">
        <f>+J69*76%</f>
        <v>35040362.399999999</v>
      </c>
      <c r="L69" s="62"/>
      <c r="M69" s="62">
        <f>+J69*24%</f>
        <v>11065377.6</v>
      </c>
      <c r="N69" s="62"/>
      <c r="O69" s="62"/>
      <c r="P69" s="62"/>
      <c r="Q69" s="62">
        <f>SUM('Presupuesto detallado'!P75:U75)</f>
        <v>0</v>
      </c>
      <c r="R69" s="62"/>
      <c r="S69" s="62"/>
      <c r="T69" s="62"/>
      <c r="U69" s="62"/>
      <c r="V69" s="62"/>
      <c r="W69" s="62"/>
      <c r="X69" s="62">
        <f>+Q69+J69+C69</f>
        <v>46105740</v>
      </c>
      <c r="Y69" s="62">
        <f>+D69+K69+R69</f>
        <v>35040362.399999999</v>
      </c>
      <c r="Z69" s="62"/>
      <c r="AA69" s="62">
        <f>+F69+M69+T69</f>
        <v>11065377.6</v>
      </c>
      <c r="AB69" s="62"/>
      <c r="AC69" s="62"/>
      <c r="AD69" s="62"/>
    </row>
    <row r="70" spans="2:30" ht="30" customHeight="1" x14ac:dyDescent="0.2">
      <c r="B70" s="12" t="s">
        <v>410</v>
      </c>
      <c r="C70" s="85">
        <f>SUM('Presupuesto detallado'!C76:E76)</f>
        <v>0</v>
      </c>
      <c r="D70" s="85"/>
      <c r="E70" s="85"/>
      <c r="F70" s="85"/>
      <c r="G70" s="85"/>
      <c r="H70" s="85"/>
      <c r="I70" s="85"/>
      <c r="J70" s="62">
        <f>SUM('Presupuesto detallado'!F76:O76)</f>
        <v>587682300</v>
      </c>
      <c r="K70" s="62">
        <f>+J70*90%</f>
        <v>528914070</v>
      </c>
      <c r="L70" s="62"/>
      <c r="M70" s="62">
        <f>+J70*10%</f>
        <v>58768230</v>
      </c>
      <c r="N70" s="62"/>
      <c r="O70" s="62"/>
      <c r="P70" s="62"/>
      <c r="Q70" s="62">
        <f>SUM('Presupuesto detallado'!P76:U76)</f>
        <v>0</v>
      </c>
      <c r="R70" s="62"/>
      <c r="S70" s="62"/>
      <c r="T70" s="62"/>
      <c r="U70" s="62"/>
      <c r="V70" s="62"/>
      <c r="W70" s="62"/>
      <c r="X70" s="62">
        <f>+Q70+J70+C70</f>
        <v>587682300</v>
      </c>
      <c r="Y70" s="62">
        <f>+D70+K70+R70</f>
        <v>528914070</v>
      </c>
      <c r="Z70" s="62"/>
      <c r="AA70" s="62">
        <f>+F70+M70+T70</f>
        <v>58768230</v>
      </c>
      <c r="AB70" s="62"/>
      <c r="AC70" s="62"/>
      <c r="AD70" s="62"/>
    </row>
    <row r="71" spans="2:30" ht="38.25" customHeight="1" x14ac:dyDescent="0.2">
      <c r="B71" s="12" t="s">
        <v>411</v>
      </c>
      <c r="C71" s="85">
        <f>SUM('Presupuesto detallado'!C77:E77)</f>
        <v>0</v>
      </c>
      <c r="D71" s="85"/>
      <c r="E71" s="85"/>
      <c r="F71" s="85"/>
      <c r="G71" s="85"/>
      <c r="H71" s="85"/>
      <c r="I71" s="85"/>
      <c r="J71" s="62">
        <f>SUM('Presupuesto detallado'!F77:O77)</f>
        <v>338108760</v>
      </c>
      <c r="K71" s="62">
        <f>+J71</f>
        <v>338108760</v>
      </c>
      <c r="L71" s="62"/>
      <c r="M71" s="62"/>
      <c r="N71" s="62"/>
      <c r="O71" s="62"/>
      <c r="P71" s="62"/>
      <c r="Q71" s="62">
        <f>SUM('Presupuesto detallado'!P77:U77)</f>
        <v>0</v>
      </c>
      <c r="R71" s="62"/>
      <c r="S71" s="62"/>
      <c r="T71" s="62"/>
      <c r="U71" s="62"/>
      <c r="V71" s="62"/>
      <c r="W71" s="62"/>
      <c r="X71" s="62">
        <f>+Q71+J71+C71</f>
        <v>338108760</v>
      </c>
      <c r="Y71" s="62">
        <f>+D71+K71+R71</f>
        <v>338108760</v>
      </c>
      <c r="Z71" s="62"/>
      <c r="AA71" s="62">
        <f>+F71+M71+T71</f>
        <v>0</v>
      </c>
      <c r="AB71" s="62"/>
      <c r="AC71" s="62"/>
      <c r="AD71" s="62"/>
    </row>
    <row r="72" spans="2:30" ht="30.75" customHeight="1" x14ac:dyDescent="0.2">
      <c r="B72" s="12" t="s">
        <v>412</v>
      </c>
      <c r="C72" s="85">
        <f>SUM('Presupuesto detallado'!C78:E78)</f>
        <v>0</v>
      </c>
      <c r="D72" s="85"/>
      <c r="E72" s="85"/>
      <c r="F72" s="85"/>
      <c r="G72" s="85"/>
      <c r="H72" s="85"/>
      <c r="I72" s="85"/>
      <c r="J72" s="62">
        <f>SUM('Presupuesto detallado'!F78:O78)</f>
        <v>225405840</v>
      </c>
      <c r="K72" s="62">
        <f>+J72</f>
        <v>225405840</v>
      </c>
      <c r="L72" s="62"/>
      <c r="M72" s="62"/>
      <c r="N72" s="62"/>
      <c r="O72" s="62"/>
      <c r="P72" s="62"/>
      <c r="Q72" s="62">
        <f>SUM('Presupuesto detallado'!P78:U78)</f>
        <v>0</v>
      </c>
      <c r="R72" s="62"/>
      <c r="S72" s="62"/>
      <c r="T72" s="62"/>
      <c r="U72" s="62"/>
      <c r="V72" s="62"/>
      <c r="W72" s="62"/>
      <c r="X72" s="62">
        <f>+Q72+J72+C72</f>
        <v>225405840</v>
      </c>
      <c r="Y72" s="62">
        <f>+D72+K72+R72</f>
        <v>225405840</v>
      </c>
      <c r="Z72" s="62"/>
      <c r="AA72" s="62">
        <f>+F72+M72+T72</f>
        <v>0</v>
      </c>
      <c r="AB72" s="62"/>
      <c r="AC72" s="62"/>
      <c r="AD72" s="62"/>
    </row>
    <row r="73" spans="2:30" s="89" customFormat="1" ht="15.75" customHeight="1" x14ac:dyDescent="0.25">
      <c r="B73" s="8" t="s">
        <v>213</v>
      </c>
      <c r="C73" s="64">
        <f>+C74+C84</f>
        <v>251070053.25</v>
      </c>
      <c r="D73" s="64"/>
      <c r="E73" s="64"/>
      <c r="F73" s="64"/>
      <c r="G73" s="64"/>
      <c r="H73" s="64"/>
      <c r="I73" s="64"/>
      <c r="J73" s="64">
        <f>+J74+J84</f>
        <v>191205103926.10001</v>
      </c>
      <c r="K73" s="64"/>
      <c r="L73" s="64"/>
      <c r="M73" s="64"/>
      <c r="N73" s="64"/>
      <c r="O73" s="64"/>
      <c r="P73" s="64"/>
      <c r="Q73" s="64"/>
      <c r="R73" s="64"/>
      <c r="S73" s="64"/>
      <c r="T73" s="64"/>
      <c r="U73" s="64"/>
      <c r="V73" s="64"/>
      <c r="W73" s="64"/>
      <c r="X73" s="64">
        <f>+X74+X84</f>
        <v>212754242653.20001</v>
      </c>
      <c r="Y73" s="64">
        <f>+Y74+Y84</f>
        <v>96275025421.959991</v>
      </c>
      <c r="Z73" s="64"/>
      <c r="AA73" s="64">
        <f>+AA74+AA84</f>
        <v>76378420560.245026</v>
      </c>
      <c r="AB73" s="64"/>
      <c r="AC73" s="64">
        <f>+AC74+AC84</f>
        <v>19100796670.995007</v>
      </c>
      <c r="AD73" s="64"/>
    </row>
    <row r="74" spans="2:30" s="89" customFormat="1" ht="18" customHeight="1" x14ac:dyDescent="0.25">
      <c r="B74" s="9" t="s">
        <v>15</v>
      </c>
      <c r="C74" s="64">
        <f>SUM(C75:C83)</f>
        <v>251070053.25</v>
      </c>
      <c r="D74" s="64">
        <f>SUM(D75:D83)</f>
        <v>210311744.44999999</v>
      </c>
      <c r="E74" s="196">
        <f>+D74/C74</f>
        <v>0.83766160769713383</v>
      </c>
      <c r="F74" s="64">
        <f>SUM(F75:F83)</f>
        <v>40758308.800000004</v>
      </c>
      <c r="G74" s="196">
        <f>+F74/C74</f>
        <v>0.1623383923028662</v>
      </c>
      <c r="H74" s="64"/>
      <c r="I74" s="64"/>
      <c r="J74" s="64">
        <f>SUM(J75:J83)</f>
        <v>190428576820.85001</v>
      </c>
      <c r="K74" s="64">
        <f>SUM(K75:K83)</f>
        <v>95454354278.479996</v>
      </c>
      <c r="L74" s="196">
        <f>+K74/J74</f>
        <v>0.5012606609368343</v>
      </c>
      <c r="M74" s="64">
        <f>SUM(M75:M83)</f>
        <v>75963604569.650024</v>
      </c>
      <c r="N74" s="196">
        <f>+M74/J74</f>
        <v>0.39890863985773789</v>
      </c>
      <c r="O74" s="64">
        <f>SUM(O75:O83)</f>
        <v>19010617972.720005</v>
      </c>
      <c r="P74" s="196">
        <f>+O74/J74</f>
        <v>9.9830699205427947E-2</v>
      </c>
      <c r="Q74" s="64">
        <f>SUM(Q75:Q83)</f>
        <v>21141159351.599998</v>
      </c>
      <c r="R74" s="64">
        <f>SUM(R75:R83)</f>
        <v>112927481.28</v>
      </c>
      <c r="S74" s="196">
        <f>+R74/Q74</f>
        <v>5.34159359010997E-3</v>
      </c>
      <c r="T74" s="64">
        <f>SUM(T75:T83)</f>
        <v>28231870.32</v>
      </c>
      <c r="U74" s="196">
        <f>+T74/Q74</f>
        <v>1.3353983975274925E-3</v>
      </c>
      <c r="V74" s="64"/>
      <c r="W74" s="64"/>
      <c r="X74" s="64">
        <f>SUM(X75:X83)</f>
        <v>211820806225.70001</v>
      </c>
      <c r="Y74" s="64">
        <f>SUM(Y75:Y83)</f>
        <v>95777593504.209991</v>
      </c>
      <c r="Z74" s="184">
        <f>+Y74/X74</f>
        <v>0.45216329411076234</v>
      </c>
      <c r="AA74" s="64">
        <f>SUM(AA75:AA83)</f>
        <v>76032594748.77002</v>
      </c>
      <c r="AB74" s="184">
        <f>+AA74/X74</f>
        <v>0.35894771672125314</v>
      </c>
      <c r="AC74" s="64">
        <f>SUM(AC75:AC83)</f>
        <v>19010617972.720005</v>
      </c>
      <c r="AD74" s="184">
        <f>+AC74/X74</f>
        <v>8.974858660703873E-2</v>
      </c>
    </row>
    <row r="75" spans="2:30" ht="36" x14ac:dyDescent="0.2">
      <c r="B75" s="12" t="s">
        <v>417</v>
      </c>
      <c r="C75" s="85">
        <f>SUM('Presupuesto detallado'!C81:E81)</f>
        <v>98226395.25</v>
      </c>
      <c r="D75" s="85">
        <f>+C75</f>
        <v>98226395.25</v>
      </c>
      <c r="E75" s="85"/>
      <c r="F75" s="85"/>
      <c r="G75" s="85"/>
      <c r="H75" s="85"/>
      <c r="I75" s="85"/>
      <c r="J75" s="62">
        <f>SUM('Presupuesto detallado'!F81:O81)</f>
        <v>98226395.25</v>
      </c>
      <c r="K75" s="62">
        <f>J75*80%</f>
        <v>78581116.200000003</v>
      </c>
      <c r="L75" s="62"/>
      <c r="M75" s="62">
        <f>J75*20%</f>
        <v>19645279.050000001</v>
      </c>
      <c r="N75" s="62"/>
      <c r="O75" s="62"/>
      <c r="P75" s="62"/>
      <c r="Q75" s="62">
        <f>SUM('Presupuesto detallado'!P81:U81)</f>
        <v>0</v>
      </c>
      <c r="R75" s="62"/>
      <c r="S75" s="62"/>
      <c r="T75" s="62"/>
      <c r="U75" s="62"/>
      <c r="V75" s="62"/>
      <c r="W75" s="62"/>
      <c r="X75" s="62">
        <f t="shared" ref="X75:X82" si="18">+Q75+J75+C75</f>
        <v>196452790.5</v>
      </c>
      <c r="Y75" s="62">
        <f t="shared" ref="Y75:Y88" si="19">+D75+K75+R75</f>
        <v>176807511.44999999</v>
      </c>
      <c r="Z75" s="62"/>
      <c r="AA75" s="62">
        <f t="shared" ref="AA75:AA88" si="20">+F75+M75+T75</f>
        <v>19645279.050000001</v>
      </c>
      <c r="AB75" s="62"/>
      <c r="AC75" s="62">
        <f t="shared" ref="AC75:AC88" si="21">+H75+O75+V75</f>
        <v>0</v>
      </c>
      <c r="AD75" s="62"/>
    </row>
    <row r="76" spans="2:30" ht="30.75" customHeight="1" x14ac:dyDescent="0.2">
      <c r="B76" s="12" t="s">
        <v>418</v>
      </c>
      <c r="C76" s="85">
        <f>SUM('Presupuesto detallado'!C82:E82)</f>
        <v>0</v>
      </c>
      <c r="D76" s="85"/>
      <c r="E76" s="85"/>
      <c r="F76" s="85"/>
      <c r="G76" s="85"/>
      <c r="H76" s="85"/>
      <c r="I76" s="85"/>
      <c r="J76" s="62">
        <f>SUM('Presupuesto detallado'!F82:O82)</f>
        <v>423478054.79999995</v>
      </c>
      <c r="K76" s="62">
        <f>J76*80%</f>
        <v>338782443.83999997</v>
      </c>
      <c r="L76" s="62"/>
      <c r="M76" s="62">
        <f>J76*10%</f>
        <v>42347805.479999997</v>
      </c>
      <c r="N76" s="62"/>
      <c r="O76" s="62">
        <f>J76*10%</f>
        <v>42347805.479999997</v>
      </c>
      <c r="P76" s="62"/>
      <c r="Q76" s="62">
        <f>SUM('Presupuesto detallado'!P82:U82)</f>
        <v>141159351.59999999</v>
      </c>
      <c r="R76" s="62">
        <f>+Q76*80%</f>
        <v>112927481.28</v>
      </c>
      <c r="S76" s="62"/>
      <c r="T76" s="62">
        <f>+Q76*20%</f>
        <v>28231870.32</v>
      </c>
      <c r="U76" s="62"/>
      <c r="V76" s="62"/>
      <c r="W76" s="62"/>
      <c r="X76" s="62">
        <f t="shared" si="18"/>
        <v>564637406.39999998</v>
      </c>
      <c r="Y76" s="62">
        <f t="shared" si="19"/>
        <v>451709925.12</v>
      </c>
      <c r="Z76" s="62"/>
      <c r="AA76" s="62">
        <f t="shared" si="20"/>
        <v>70579675.799999997</v>
      </c>
      <c r="AB76" s="62"/>
      <c r="AC76" s="62">
        <f t="shared" si="21"/>
        <v>42347805.479999997</v>
      </c>
      <c r="AD76" s="62"/>
    </row>
    <row r="77" spans="2:30" ht="36" x14ac:dyDescent="0.2">
      <c r="B77" s="12" t="s">
        <v>538</v>
      </c>
      <c r="C77" s="85">
        <f>SUM('Presupuesto detallado'!C83:E83)</f>
        <v>0</v>
      </c>
      <c r="D77" s="85"/>
      <c r="E77" s="85"/>
      <c r="F77" s="85"/>
      <c r="G77" s="85"/>
      <c r="H77" s="85"/>
      <c r="I77" s="85"/>
      <c r="J77" s="62">
        <f>SUM('Presupuesto detallado'!F83:O83)</f>
        <v>122274926.39999999</v>
      </c>
      <c r="K77" s="62">
        <f>J77*80%</f>
        <v>97819941.120000005</v>
      </c>
      <c r="L77" s="62"/>
      <c r="M77" s="62">
        <f>J77*20%</f>
        <v>24454985.280000001</v>
      </c>
      <c r="N77" s="62"/>
      <c r="O77" s="62"/>
      <c r="P77" s="62"/>
      <c r="Q77" s="62">
        <f>SUM('Presupuesto detallado'!P83:U83)</f>
        <v>0</v>
      </c>
      <c r="R77" s="62"/>
      <c r="S77" s="62"/>
      <c r="T77" s="62"/>
      <c r="U77" s="62"/>
      <c r="V77" s="62"/>
      <c r="W77" s="62"/>
      <c r="X77" s="62">
        <f t="shared" si="18"/>
        <v>122274926.39999999</v>
      </c>
      <c r="Y77" s="62">
        <f t="shared" si="19"/>
        <v>97819941.120000005</v>
      </c>
      <c r="Z77" s="62"/>
      <c r="AA77" s="62">
        <f t="shared" si="20"/>
        <v>24454985.280000001</v>
      </c>
      <c r="AB77" s="62"/>
      <c r="AC77" s="62">
        <f t="shared" si="21"/>
        <v>0</v>
      </c>
      <c r="AD77" s="62"/>
    </row>
    <row r="78" spans="2:30" ht="36" x14ac:dyDescent="0.2">
      <c r="B78" s="12" t="s">
        <v>419</v>
      </c>
      <c r="C78" s="85">
        <f>SUM('Presupuesto detallado'!C84:E84)</f>
        <v>0</v>
      </c>
      <c r="D78" s="85"/>
      <c r="E78" s="85"/>
      <c r="F78" s="85"/>
      <c r="G78" s="85"/>
      <c r="H78" s="85"/>
      <c r="I78" s="85"/>
      <c r="J78" s="62">
        <f>SUM('Presupuesto detallado'!F84:O84)</f>
        <v>101895772</v>
      </c>
      <c r="K78" s="62">
        <f>J78*50%</f>
        <v>50947886</v>
      </c>
      <c r="L78" s="62"/>
      <c r="M78" s="62">
        <f>J78*40%</f>
        <v>40758308.800000004</v>
      </c>
      <c r="N78" s="62"/>
      <c r="O78" s="62">
        <f>J78*10%</f>
        <v>10189577.200000001</v>
      </c>
      <c r="P78" s="62"/>
      <c r="Q78" s="62">
        <f>SUM('Presupuesto detallado'!P84:U84)</f>
        <v>0</v>
      </c>
      <c r="R78" s="62"/>
      <c r="S78" s="62"/>
      <c r="T78" s="62"/>
      <c r="U78" s="62"/>
      <c r="V78" s="62"/>
      <c r="W78" s="62"/>
      <c r="X78" s="62">
        <f t="shared" si="18"/>
        <v>101895772</v>
      </c>
      <c r="Y78" s="62">
        <f t="shared" si="19"/>
        <v>50947886</v>
      </c>
      <c r="Z78" s="62"/>
      <c r="AA78" s="62">
        <f t="shared" si="20"/>
        <v>40758308.800000004</v>
      </c>
      <c r="AB78" s="62"/>
      <c r="AC78" s="62">
        <f t="shared" si="21"/>
        <v>10189577.200000001</v>
      </c>
      <c r="AD78" s="62"/>
    </row>
    <row r="79" spans="2:30" ht="48" x14ac:dyDescent="0.2">
      <c r="B79" s="12" t="s">
        <v>539</v>
      </c>
      <c r="C79" s="85">
        <f>SUM('Presupuesto detallado'!C85:E85)</f>
        <v>0</v>
      </c>
      <c r="D79" s="85"/>
      <c r="E79" s="85"/>
      <c r="F79" s="85"/>
      <c r="G79" s="85"/>
      <c r="H79" s="85"/>
      <c r="I79" s="85"/>
      <c r="J79" s="62">
        <f>SUM('Presupuesto detallado'!F85:O85)</f>
        <v>122274926.39999999</v>
      </c>
      <c r="K79" s="62">
        <f>J79*80%</f>
        <v>97819941.120000005</v>
      </c>
      <c r="L79" s="62"/>
      <c r="M79" s="62">
        <f>J79*10%</f>
        <v>12227492.640000001</v>
      </c>
      <c r="N79" s="62"/>
      <c r="O79" s="62">
        <f>J79*10%</f>
        <v>12227492.640000001</v>
      </c>
      <c r="P79" s="62"/>
      <c r="Q79" s="62">
        <f>SUM('Presupuesto detallado'!P85:U85)</f>
        <v>0</v>
      </c>
      <c r="R79" s="62"/>
      <c r="S79" s="62"/>
      <c r="T79" s="62"/>
      <c r="U79" s="62"/>
      <c r="V79" s="62"/>
      <c r="W79" s="62"/>
      <c r="X79" s="62">
        <f t="shared" si="18"/>
        <v>122274926.39999999</v>
      </c>
      <c r="Y79" s="62">
        <f t="shared" si="19"/>
        <v>97819941.120000005</v>
      </c>
      <c r="Z79" s="62"/>
      <c r="AA79" s="62">
        <f t="shared" si="20"/>
        <v>12227492.640000001</v>
      </c>
      <c r="AB79" s="62"/>
      <c r="AC79" s="62">
        <f t="shared" si="21"/>
        <v>12227492.640000001</v>
      </c>
      <c r="AD79" s="62"/>
    </row>
    <row r="80" spans="2:30" ht="25.5" customHeight="1" x14ac:dyDescent="0.2">
      <c r="B80" s="12" t="s">
        <v>420</v>
      </c>
      <c r="C80" s="85">
        <f>SUM('Presupuesto detallado'!C86:E86)</f>
        <v>101895772</v>
      </c>
      <c r="D80" s="85">
        <f>+C80*60%</f>
        <v>61137463.199999996</v>
      </c>
      <c r="E80" s="85"/>
      <c r="F80" s="85">
        <f>+C80*40%</f>
        <v>40758308.800000004</v>
      </c>
      <c r="G80" s="85"/>
      <c r="H80" s="85"/>
      <c r="I80" s="85"/>
      <c r="J80" s="62">
        <f>SUM('Presupuesto detallado'!F86:O86)</f>
        <v>203791544</v>
      </c>
      <c r="K80" s="62">
        <f>J80*50%</f>
        <v>101895772</v>
      </c>
      <c r="L80" s="62"/>
      <c r="M80" s="62">
        <f>J80*40%</f>
        <v>81516617.600000009</v>
      </c>
      <c r="N80" s="62"/>
      <c r="O80" s="62">
        <f>J80*10%</f>
        <v>20379154.400000002</v>
      </c>
      <c r="P80" s="62"/>
      <c r="Q80" s="62">
        <f>SUM('Presupuesto detallado'!P86:U86)</f>
        <v>0</v>
      </c>
      <c r="R80" s="62"/>
      <c r="S80" s="62"/>
      <c r="T80" s="62"/>
      <c r="U80" s="62"/>
      <c r="V80" s="62"/>
      <c r="W80" s="62"/>
      <c r="X80" s="62">
        <f t="shared" si="18"/>
        <v>305687316</v>
      </c>
      <c r="Y80" s="62">
        <f t="shared" si="19"/>
        <v>163033235.19999999</v>
      </c>
      <c r="Z80" s="62"/>
      <c r="AA80" s="62">
        <f t="shared" si="20"/>
        <v>122274926.40000001</v>
      </c>
      <c r="AB80" s="62"/>
      <c r="AC80" s="62">
        <f t="shared" si="21"/>
        <v>20379154.400000002</v>
      </c>
      <c r="AD80" s="62"/>
    </row>
    <row r="81" spans="2:30" ht="42" customHeight="1" x14ac:dyDescent="0.2">
      <c r="B81" s="12" t="s">
        <v>421</v>
      </c>
      <c r="C81" s="85">
        <f>SUM('Presupuesto detallado'!C87:E87)</f>
        <v>0</v>
      </c>
      <c r="D81" s="85"/>
      <c r="E81" s="85"/>
      <c r="F81" s="85"/>
      <c r="G81" s="85"/>
      <c r="H81" s="85"/>
      <c r="I81" s="85"/>
      <c r="J81" s="62">
        <f>SUM('Presupuesto detallado'!F87:O87)</f>
        <v>189050947886</v>
      </c>
      <c r="K81" s="62">
        <f>J81*50%</f>
        <v>94525473943</v>
      </c>
      <c r="L81" s="62"/>
      <c r="M81" s="62">
        <f>J81*40%</f>
        <v>75620379154.400009</v>
      </c>
      <c r="N81" s="62"/>
      <c r="O81" s="62">
        <f>J81*10%</f>
        <v>18905094788.600002</v>
      </c>
      <c r="P81" s="62"/>
      <c r="Q81" s="62">
        <f>SUM('Presupuesto detallado'!P87:U87)</f>
        <v>21000000000</v>
      </c>
      <c r="R81" s="62"/>
      <c r="S81" s="62"/>
      <c r="T81" s="62"/>
      <c r="U81" s="62"/>
      <c r="V81" s="62"/>
      <c r="W81" s="62"/>
      <c r="X81" s="62">
        <f t="shared" si="18"/>
        <v>210050947886</v>
      </c>
      <c r="Y81" s="62">
        <f t="shared" si="19"/>
        <v>94525473943</v>
      </c>
      <c r="Z81" s="62"/>
      <c r="AA81" s="62">
        <f t="shared" si="20"/>
        <v>75620379154.400009</v>
      </c>
      <c r="AB81" s="62"/>
      <c r="AC81" s="62">
        <f t="shared" si="21"/>
        <v>18905094788.600002</v>
      </c>
      <c r="AD81" s="62"/>
    </row>
    <row r="82" spans="2:30" ht="36" x14ac:dyDescent="0.2">
      <c r="B82" s="12" t="s">
        <v>422</v>
      </c>
      <c r="C82" s="85">
        <f>SUM('Presupuesto detallado'!C88:E88)</f>
        <v>0</v>
      </c>
      <c r="D82" s="85"/>
      <c r="E82" s="85"/>
      <c r="F82" s="85"/>
      <c r="G82" s="85"/>
      <c r="H82" s="85"/>
      <c r="I82" s="85"/>
      <c r="J82" s="62">
        <f>SUM('Presupuesto detallado'!F88:O88)</f>
        <v>203791544</v>
      </c>
      <c r="K82" s="62">
        <f>J82*50%</f>
        <v>101895772</v>
      </c>
      <c r="L82" s="62"/>
      <c r="M82" s="62">
        <f>J82*40%</f>
        <v>81516617.600000009</v>
      </c>
      <c r="N82" s="62"/>
      <c r="O82" s="62">
        <f>J82*10%</f>
        <v>20379154.400000002</v>
      </c>
      <c r="P82" s="62"/>
      <c r="Q82" s="62">
        <f>SUM('Presupuesto detallado'!P88:U88)</f>
        <v>0</v>
      </c>
      <c r="R82" s="62"/>
      <c r="S82" s="62"/>
      <c r="T82" s="62"/>
      <c r="U82" s="62"/>
      <c r="V82" s="62"/>
      <c r="W82" s="62"/>
      <c r="X82" s="62">
        <f t="shared" si="18"/>
        <v>203791544</v>
      </c>
      <c r="Y82" s="62">
        <f t="shared" si="19"/>
        <v>101895772</v>
      </c>
      <c r="Z82" s="62"/>
      <c r="AA82" s="62">
        <f t="shared" si="20"/>
        <v>81516617.600000009</v>
      </c>
      <c r="AB82" s="62"/>
      <c r="AC82" s="62">
        <f t="shared" si="21"/>
        <v>20379154.400000002</v>
      </c>
      <c r="AD82" s="62"/>
    </row>
    <row r="83" spans="2:30" ht="15.75" customHeight="1" x14ac:dyDescent="0.2">
      <c r="B83" s="12" t="s">
        <v>423</v>
      </c>
      <c r="C83" s="85">
        <f>SUM('Presupuesto detallado'!C89:E89)</f>
        <v>50947886</v>
      </c>
      <c r="D83" s="85">
        <f>+C83</f>
        <v>50947886</v>
      </c>
      <c r="E83" s="85"/>
      <c r="F83" s="85"/>
      <c r="G83" s="85"/>
      <c r="H83" s="85"/>
      <c r="I83" s="85"/>
      <c r="J83" s="62">
        <f>SUM('Presupuesto detallado'!F89:O89)</f>
        <v>101895772</v>
      </c>
      <c r="K83" s="62">
        <f>J83*60%</f>
        <v>61137463.199999996</v>
      </c>
      <c r="L83" s="62"/>
      <c r="M83" s="62">
        <f>J83*40%</f>
        <v>40758308.800000004</v>
      </c>
      <c r="N83" s="62"/>
      <c r="O83" s="62"/>
      <c r="P83" s="62"/>
      <c r="Q83" s="62">
        <f>SUM('Presupuesto detallado'!P89:U89)</f>
        <v>0</v>
      </c>
      <c r="R83" s="62"/>
      <c r="S83" s="62"/>
      <c r="T83" s="62"/>
      <c r="U83" s="62"/>
      <c r="V83" s="62"/>
      <c r="W83" s="62"/>
      <c r="X83" s="62">
        <f>+Q83+J83+C83</f>
        <v>152843658</v>
      </c>
      <c r="Y83" s="62">
        <f t="shared" si="19"/>
        <v>112085349.19999999</v>
      </c>
      <c r="Z83" s="62"/>
      <c r="AA83" s="62">
        <f t="shared" si="20"/>
        <v>40758308.800000004</v>
      </c>
      <c r="AB83" s="62"/>
      <c r="AC83" s="62">
        <f t="shared" si="21"/>
        <v>0</v>
      </c>
      <c r="AD83" s="62"/>
    </row>
    <row r="84" spans="2:30" s="88" customFormat="1" ht="17.25" customHeight="1" x14ac:dyDescent="0.2">
      <c r="B84" s="9" t="s">
        <v>16</v>
      </c>
      <c r="C84" s="87">
        <f>SUM(C85:C88)</f>
        <v>0</v>
      </c>
      <c r="D84" s="87"/>
      <c r="E84" s="87"/>
      <c r="F84" s="87"/>
      <c r="G84" s="87"/>
      <c r="H84" s="87"/>
      <c r="I84" s="87"/>
      <c r="J84" s="87">
        <f>SUM(J85:J88)</f>
        <v>776527105.25</v>
      </c>
      <c r="K84" s="87">
        <f>SUM(K85:K88)</f>
        <v>415812312.14999998</v>
      </c>
      <c r="L84" s="196">
        <f>+K84/J84</f>
        <v>0.53547688076661637</v>
      </c>
      <c r="M84" s="87">
        <f>SUM(M85:M88)</f>
        <v>283062082.57499999</v>
      </c>
      <c r="N84" s="196">
        <f>+M84/J84</f>
        <v>0.36452311923338365</v>
      </c>
      <c r="O84" s="87">
        <f>SUM(O85:O88)</f>
        <v>77652710.525000006</v>
      </c>
      <c r="P84" s="196">
        <f>+O84/J84</f>
        <v>0.1</v>
      </c>
      <c r="Q84" s="87">
        <f>SUM(Q85:Q88)</f>
        <v>156909322.25</v>
      </c>
      <c r="R84" s="87">
        <f>SUM(R85:R88)</f>
        <v>81619605.599999994</v>
      </c>
      <c r="S84" s="196">
        <f>+R84/Q84</f>
        <v>0.52017053180535289</v>
      </c>
      <c r="T84" s="87">
        <f>SUM(T85:T88)</f>
        <v>62763728.899999999</v>
      </c>
      <c r="U84" s="196">
        <f>+T84/Q84</f>
        <v>0.39999999999999997</v>
      </c>
      <c r="V84" s="87">
        <f>SUM(V85:V88)</f>
        <v>12525987.75</v>
      </c>
      <c r="W84" s="196">
        <f>+V84/Q84</f>
        <v>7.9829468194647049E-2</v>
      </c>
      <c r="X84" s="87">
        <f>SUM(X85:X88)</f>
        <v>933436427.5</v>
      </c>
      <c r="Y84" s="87">
        <f>SUM(Y85:Y88)</f>
        <v>497431917.75</v>
      </c>
      <c r="Z84" s="184">
        <f>+Y84/X84</f>
        <v>0.53290390549923128</v>
      </c>
      <c r="AA84" s="87">
        <f>SUM(AA85:AA88)</f>
        <v>345825811.47500002</v>
      </c>
      <c r="AB84" s="184">
        <f>+AA84/X84</f>
        <v>0.37048673191512022</v>
      </c>
      <c r="AC84" s="87">
        <f>SUM(AC85:AC88)</f>
        <v>90178698.275000006</v>
      </c>
      <c r="AD84" s="184">
        <f>+AC84/X84</f>
        <v>9.6609362585648617E-2</v>
      </c>
    </row>
    <row r="85" spans="2:30" ht="36" x14ac:dyDescent="0.2">
      <c r="B85" s="12" t="s">
        <v>435</v>
      </c>
      <c r="C85" s="85">
        <f>SUM('Presupuesto detallado'!C91:E91)</f>
        <v>0</v>
      </c>
      <c r="D85" s="85"/>
      <c r="E85" s="85"/>
      <c r="F85" s="85"/>
      <c r="G85" s="85"/>
      <c r="H85" s="85"/>
      <c r="I85" s="85"/>
      <c r="J85" s="62">
        <f>SUM('Presupuesto detallado'!F91:O91)</f>
        <v>148889816.25</v>
      </c>
      <c r="K85" s="62">
        <f>J85*60%</f>
        <v>89333889.75</v>
      </c>
      <c r="L85" s="62"/>
      <c r="M85" s="62">
        <f>J85*30%</f>
        <v>44666944.875</v>
      </c>
      <c r="N85" s="62"/>
      <c r="O85" s="62">
        <f>J85*10%</f>
        <v>14888981.625</v>
      </c>
      <c r="P85" s="62"/>
      <c r="Q85" s="62">
        <f>SUM('Presupuesto detallado'!P91:U91)</f>
        <v>0</v>
      </c>
      <c r="R85" s="62"/>
      <c r="S85" s="62"/>
      <c r="T85" s="62"/>
      <c r="U85" s="62"/>
      <c r="V85" s="62"/>
      <c r="W85" s="62"/>
      <c r="X85" s="62">
        <f>+Q85+J85+C85</f>
        <v>148889816.25</v>
      </c>
      <c r="Y85" s="62">
        <f t="shared" si="19"/>
        <v>89333889.75</v>
      </c>
      <c r="Z85" s="62"/>
      <c r="AA85" s="62">
        <f t="shared" si="20"/>
        <v>44666944.875</v>
      </c>
      <c r="AB85" s="62"/>
      <c r="AC85" s="62">
        <f t="shared" si="21"/>
        <v>14888981.625</v>
      </c>
      <c r="AD85" s="62"/>
    </row>
    <row r="86" spans="2:30" ht="36" x14ac:dyDescent="0.2">
      <c r="B86" s="12" t="s">
        <v>540</v>
      </c>
      <c r="C86" s="85">
        <f>SUM('Presupuesto detallado'!C92:E92)</f>
        <v>0</v>
      </c>
      <c r="D86" s="85"/>
      <c r="E86" s="85"/>
      <c r="F86" s="85"/>
      <c r="G86" s="85"/>
      <c r="H86" s="85"/>
      <c r="I86" s="85"/>
      <c r="J86" s="62">
        <f>SUM('Presupuesto detallado'!F92:O92)</f>
        <v>126597779</v>
      </c>
      <c r="K86" s="62">
        <f>J86*60%</f>
        <v>75958667.399999991</v>
      </c>
      <c r="L86" s="62"/>
      <c r="M86" s="62">
        <f>J86*30%</f>
        <v>37979333.699999996</v>
      </c>
      <c r="N86" s="62"/>
      <c r="O86" s="62">
        <f>J86*10%</f>
        <v>12659777.9</v>
      </c>
      <c r="P86" s="62"/>
      <c r="Q86" s="62">
        <f>SUM('Presupuesto detallado'!P92:U92)</f>
        <v>31649444.75</v>
      </c>
      <c r="R86" s="62">
        <f>Q86*60%</f>
        <v>18989666.849999998</v>
      </c>
      <c r="S86" s="62"/>
      <c r="T86" s="62">
        <f>Q86*40%</f>
        <v>12659777.9</v>
      </c>
      <c r="U86" s="62"/>
      <c r="V86" s="62"/>
      <c r="W86" s="62"/>
      <c r="X86" s="62">
        <f>+Q86+J86+C86</f>
        <v>158247223.75</v>
      </c>
      <c r="Y86" s="62">
        <f t="shared" si="19"/>
        <v>94948334.249999985</v>
      </c>
      <c r="Z86" s="62"/>
      <c r="AA86" s="62">
        <f t="shared" si="20"/>
        <v>50639111.599999994</v>
      </c>
      <c r="AB86" s="62"/>
      <c r="AC86" s="62">
        <f t="shared" si="21"/>
        <v>12659777.9</v>
      </c>
      <c r="AD86" s="62"/>
    </row>
    <row r="87" spans="2:30" ht="27.75" customHeight="1" x14ac:dyDescent="0.2">
      <c r="B87" s="12" t="s">
        <v>436</v>
      </c>
      <c r="C87" s="85">
        <f>SUM('Presupuesto detallado'!C93:E93)</f>
        <v>0</v>
      </c>
      <c r="D87" s="85"/>
      <c r="E87" s="85"/>
      <c r="F87" s="85"/>
      <c r="G87" s="85"/>
      <c r="H87" s="85"/>
      <c r="I87" s="85"/>
      <c r="J87" s="62">
        <f>SUM('Presupuesto detallado'!F93:O93)</f>
        <v>302519755</v>
      </c>
      <c r="K87" s="62">
        <f>J87*50%</f>
        <v>151259877.5</v>
      </c>
      <c r="L87" s="62"/>
      <c r="M87" s="62">
        <f>J87*40%</f>
        <v>121007902</v>
      </c>
      <c r="N87" s="62"/>
      <c r="O87" s="62">
        <f>J87*10%</f>
        <v>30251975.5</v>
      </c>
      <c r="P87" s="62"/>
      <c r="Q87" s="62">
        <f>SUM('Presupuesto detallado'!P93:U93)</f>
        <v>75629938.75</v>
      </c>
      <c r="R87" s="62">
        <f>Q87*50%</f>
        <v>37814969.375</v>
      </c>
      <c r="S87" s="62"/>
      <c r="T87" s="62">
        <f>Q87*40%</f>
        <v>30251975.5</v>
      </c>
      <c r="U87" s="62"/>
      <c r="V87" s="62">
        <f>Q87*10%</f>
        <v>7562993.875</v>
      </c>
      <c r="W87" s="62"/>
      <c r="X87" s="62">
        <f>+Q87+J87+C87</f>
        <v>378149693.75</v>
      </c>
      <c r="Y87" s="62">
        <f t="shared" si="19"/>
        <v>189074846.875</v>
      </c>
      <c r="Z87" s="62"/>
      <c r="AA87" s="62">
        <f t="shared" si="20"/>
        <v>151259877.5</v>
      </c>
      <c r="AB87" s="62"/>
      <c r="AC87" s="62">
        <f t="shared" si="21"/>
        <v>37814969.375</v>
      </c>
      <c r="AD87" s="62"/>
    </row>
    <row r="88" spans="2:30" ht="49.5" customHeight="1" x14ac:dyDescent="0.2">
      <c r="B88" s="12" t="s">
        <v>434</v>
      </c>
      <c r="C88" s="85">
        <f>SUM('Presupuesto detallado'!C94:E94)</f>
        <v>0</v>
      </c>
      <c r="D88" s="85"/>
      <c r="E88" s="85"/>
      <c r="F88" s="85"/>
      <c r="G88" s="85"/>
      <c r="H88" s="85"/>
      <c r="I88" s="85"/>
      <c r="J88" s="62">
        <f>SUM('Presupuesto detallado'!F94:O94)</f>
        <v>198519755</v>
      </c>
      <c r="K88" s="62">
        <f>J88*50%</f>
        <v>99259877.5</v>
      </c>
      <c r="L88" s="62"/>
      <c r="M88" s="62">
        <f>J88*40%</f>
        <v>79407902</v>
      </c>
      <c r="N88" s="62"/>
      <c r="O88" s="62">
        <f>J88*10%</f>
        <v>19851975.5</v>
      </c>
      <c r="P88" s="62"/>
      <c r="Q88" s="62">
        <f>SUM('Presupuesto detallado'!P94:U94)</f>
        <v>49629938.75</v>
      </c>
      <c r="R88" s="62">
        <f>Q88*50%</f>
        <v>24814969.375</v>
      </c>
      <c r="S88" s="62"/>
      <c r="T88" s="62">
        <f>Q88*40%</f>
        <v>19851975.5</v>
      </c>
      <c r="U88" s="62"/>
      <c r="V88" s="62">
        <f>Q88*10%</f>
        <v>4962993.875</v>
      </c>
      <c r="W88" s="62"/>
      <c r="X88" s="62">
        <f>+Q88+J88+C88</f>
        <v>248149693.75</v>
      </c>
      <c r="Y88" s="62">
        <f t="shared" si="19"/>
        <v>124074846.875</v>
      </c>
      <c r="Z88" s="62"/>
      <c r="AA88" s="62">
        <f t="shared" si="20"/>
        <v>99259877.5</v>
      </c>
      <c r="AB88" s="62"/>
      <c r="AC88" s="62">
        <f t="shared" si="21"/>
        <v>24814969.375</v>
      </c>
      <c r="AD88" s="62"/>
    </row>
    <row r="89" spans="2:30" s="89" customFormat="1" ht="15.75" customHeight="1" x14ac:dyDescent="0.25">
      <c r="B89" s="8" t="s">
        <v>17</v>
      </c>
      <c r="C89" s="64">
        <f>+C90+C94</f>
        <v>1749255879</v>
      </c>
      <c r="D89" s="64"/>
      <c r="E89" s="64"/>
      <c r="F89" s="64"/>
      <c r="G89" s="64"/>
      <c r="H89" s="64"/>
      <c r="I89" s="64"/>
      <c r="J89" s="64">
        <f>+J90+J94</f>
        <v>6041259627</v>
      </c>
      <c r="K89" s="64"/>
      <c r="L89" s="64"/>
      <c r="M89" s="64"/>
      <c r="N89" s="64"/>
      <c r="O89" s="64"/>
      <c r="P89" s="64"/>
      <c r="Q89" s="64">
        <f>+Q90+Q94</f>
        <v>3333418824</v>
      </c>
      <c r="R89" s="64"/>
      <c r="S89" s="64"/>
      <c r="T89" s="64"/>
      <c r="U89" s="64"/>
      <c r="V89" s="64"/>
      <c r="W89" s="64"/>
      <c r="X89" s="64">
        <f>+X90+X94</f>
        <v>11123934330</v>
      </c>
      <c r="Y89" s="64">
        <f>+Y90+Y94</f>
        <v>5050857065.3000002</v>
      </c>
      <c r="Z89" s="64"/>
      <c r="AA89" s="64">
        <f>+AA90+AA94</f>
        <v>4290185716</v>
      </c>
      <c r="AB89" s="64"/>
      <c r="AC89" s="64">
        <f>+AC90+AC94</f>
        <v>366642572.70000005</v>
      </c>
      <c r="AD89" s="64"/>
    </row>
    <row r="90" spans="2:30" s="89" customFormat="1" ht="15.75" customHeight="1" x14ac:dyDescent="0.25">
      <c r="B90" s="9" t="s">
        <v>18</v>
      </c>
      <c r="C90" s="64">
        <f>SUM(C91:C93)</f>
        <v>333006903</v>
      </c>
      <c r="D90" s="64">
        <f>SUM(D91:D93)</f>
        <v>266405522.39999998</v>
      </c>
      <c r="E90" s="196">
        <f>+D90/C90</f>
        <v>0.79999999999999993</v>
      </c>
      <c r="F90" s="64">
        <f>SUM(F91:F93)</f>
        <v>66601380.599999994</v>
      </c>
      <c r="G90" s="196">
        <f>+F90/C90</f>
        <v>0.19999999999999998</v>
      </c>
      <c r="H90" s="64"/>
      <c r="I90" s="64"/>
      <c r="J90" s="64">
        <f>SUM(J91:J93)</f>
        <v>333006903</v>
      </c>
      <c r="K90" s="64">
        <f>SUM(K91:K93)</f>
        <v>233104832.09999996</v>
      </c>
      <c r="L90" s="196">
        <f>+K90/J90</f>
        <v>0.69999999999999984</v>
      </c>
      <c r="M90" s="64">
        <f>SUM(M91:M93)</f>
        <v>66601380.599999994</v>
      </c>
      <c r="N90" s="196">
        <f>+M90/J90</f>
        <v>0.19999999999999998</v>
      </c>
      <c r="O90" s="64">
        <f>SUM(O91:O93)</f>
        <v>33300690.299999997</v>
      </c>
      <c r="P90" s="196">
        <f>+O90/J90</f>
        <v>9.9999999999999992E-2</v>
      </c>
      <c r="Q90" s="64"/>
      <c r="R90" s="64"/>
      <c r="S90" s="64"/>
      <c r="T90" s="64"/>
      <c r="U90" s="64"/>
      <c r="V90" s="64"/>
      <c r="W90" s="64"/>
      <c r="X90" s="64">
        <f>SUM(X91:X93)</f>
        <v>666013806</v>
      </c>
      <c r="Y90" s="64">
        <f>SUM(Y91:Y93)</f>
        <v>499510354.49999994</v>
      </c>
      <c r="Z90" s="196">
        <f>+Y90/X90</f>
        <v>0.74999999999999989</v>
      </c>
      <c r="AA90" s="64">
        <f>SUM(AA91:AA93)</f>
        <v>133202761.19999999</v>
      </c>
      <c r="AB90" s="196">
        <f>+AA90/X90</f>
        <v>0.19999999999999998</v>
      </c>
      <c r="AC90" s="64">
        <f>SUM(AC91:AC93)</f>
        <v>33300690.299999997</v>
      </c>
      <c r="AD90" s="196">
        <f>+AC90/X90</f>
        <v>4.9999999999999996E-2</v>
      </c>
    </row>
    <row r="91" spans="2:30" ht="24" x14ac:dyDescent="0.2">
      <c r="B91" s="12" t="s">
        <v>439</v>
      </c>
      <c r="C91" s="85">
        <f>SUM('Presupuesto detallado'!C97:E97)</f>
        <v>158112712.59999999</v>
      </c>
      <c r="D91" s="85">
        <f>C91*80%</f>
        <v>126490170.08</v>
      </c>
      <c r="E91" s="85"/>
      <c r="F91" s="85">
        <f>C91*20%</f>
        <v>31622542.52</v>
      </c>
      <c r="G91" s="85"/>
      <c r="H91" s="85"/>
      <c r="I91" s="85"/>
      <c r="J91" s="62">
        <f>SUM('Presupuesto detallado'!F97:O97)</f>
        <v>158112712.59999999</v>
      </c>
      <c r="K91" s="62">
        <f>J91*70%</f>
        <v>110678898.81999999</v>
      </c>
      <c r="L91" s="62"/>
      <c r="M91" s="62">
        <f>J91*20%</f>
        <v>31622542.52</v>
      </c>
      <c r="N91" s="62"/>
      <c r="O91" s="62">
        <f>J91*10%</f>
        <v>15811271.26</v>
      </c>
      <c r="P91" s="62"/>
      <c r="Q91" s="62">
        <f>SUM('Presupuesto detallado'!P97:U97)</f>
        <v>0</v>
      </c>
      <c r="R91" s="62"/>
      <c r="S91" s="62"/>
      <c r="T91" s="62"/>
      <c r="U91" s="62"/>
      <c r="V91" s="62"/>
      <c r="W91" s="62"/>
      <c r="X91" s="62">
        <f>+Q91+J91+C91</f>
        <v>316225425.19999999</v>
      </c>
      <c r="Y91" s="62">
        <f t="shared" ref="Y91:Y96" si="22">+D91+K91+R91</f>
        <v>237169068.89999998</v>
      </c>
      <c r="Z91" s="62"/>
      <c r="AA91" s="62">
        <f t="shared" ref="AA91:AA96" si="23">+F91+M91+T91</f>
        <v>63245085.039999999</v>
      </c>
      <c r="AB91" s="62"/>
      <c r="AC91" s="62">
        <f t="shared" ref="AC91:AC96" si="24">+H91+O91+V91</f>
        <v>15811271.26</v>
      </c>
      <c r="AD91" s="62"/>
    </row>
    <row r="92" spans="2:30" ht="24" x14ac:dyDescent="0.2">
      <c r="B92" s="12" t="s">
        <v>440</v>
      </c>
      <c r="C92" s="85">
        <f>SUM('Presupuesto detallado'!C98:E98)</f>
        <v>119603579.59999999</v>
      </c>
      <c r="D92" s="85">
        <f>C92*80%</f>
        <v>95682863.680000007</v>
      </c>
      <c r="E92" s="85"/>
      <c r="F92" s="85">
        <f>C92*20%</f>
        <v>23920715.920000002</v>
      </c>
      <c r="G92" s="85"/>
      <c r="H92" s="85"/>
      <c r="I92" s="85"/>
      <c r="J92" s="62">
        <f>SUM('Presupuesto detallado'!F98:O98)</f>
        <v>119603579.59999999</v>
      </c>
      <c r="K92" s="62">
        <f>J92*70%</f>
        <v>83722505.719999984</v>
      </c>
      <c r="L92" s="62"/>
      <c r="M92" s="62">
        <f>J92*20%</f>
        <v>23920715.920000002</v>
      </c>
      <c r="N92" s="62"/>
      <c r="O92" s="62">
        <f>J92*10%</f>
        <v>11960357.960000001</v>
      </c>
      <c r="P92" s="62"/>
      <c r="Q92" s="62">
        <f>SUM('Presupuesto detallado'!P98:U98)</f>
        <v>0</v>
      </c>
      <c r="R92" s="62"/>
      <c r="S92" s="62"/>
      <c r="T92" s="62"/>
      <c r="U92" s="62"/>
      <c r="V92" s="62"/>
      <c r="W92" s="62"/>
      <c r="X92" s="62">
        <f>+Q92+J92+C92</f>
        <v>239207159.19999999</v>
      </c>
      <c r="Y92" s="62">
        <f t="shared" si="22"/>
        <v>179405369.39999998</v>
      </c>
      <c r="Z92" s="62"/>
      <c r="AA92" s="62">
        <f t="shared" si="23"/>
        <v>47841431.840000004</v>
      </c>
      <c r="AB92" s="62"/>
      <c r="AC92" s="62">
        <f t="shared" si="24"/>
        <v>11960357.960000001</v>
      </c>
      <c r="AD92" s="62"/>
    </row>
    <row r="93" spans="2:30" ht="30.75" customHeight="1" x14ac:dyDescent="0.2">
      <c r="B93" s="12" t="s">
        <v>441</v>
      </c>
      <c r="C93" s="85">
        <f>SUM('Presupuesto detallado'!C99:E99)</f>
        <v>55290610.799999997</v>
      </c>
      <c r="D93" s="85">
        <f>C93*80%</f>
        <v>44232488.640000001</v>
      </c>
      <c r="E93" s="85"/>
      <c r="F93" s="85">
        <f>C93*20%</f>
        <v>11058122.16</v>
      </c>
      <c r="G93" s="85"/>
      <c r="H93" s="85"/>
      <c r="I93" s="85"/>
      <c r="J93" s="62">
        <f>SUM('Presupuesto detallado'!F99:O99)</f>
        <v>55290610.799999997</v>
      </c>
      <c r="K93" s="62">
        <f>J93*70%</f>
        <v>38703427.559999995</v>
      </c>
      <c r="L93" s="62"/>
      <c r="M93" s="62">
        <f>J93*20%</f>
        <v>11058122.16</v>
      </c>
      <c r="N93" s="62"/>
      <c r="O93" s="62">
        <f>J93*10%</f>
        <v>5529061.0800000001</v>
      </c>
      <c r="P93" s="62"/>
      <c r="Q93" s="62">
        <f>SUM('Presupuesto detallado'!P99:U99)</f>
        <v>0</v>
      </c>
      <c r="R93" s="62"/>
      <c r="S93" s="62"/>
      <c r="T93" s="62"/>
      <c r="U93" s="62"/>
      <c r="V93" s="62"/>
      <c r="W93" s="62"/>
      <c r="X93" s="62">
        <f>+Q93+J93+C93</f>
        <v>110581221.59999999</v>
      </c>
      <c r="Y93" s="62">
        <f t="shared" si="22"/>
        <v>82935916.199999988</v>
      </c>
      <c r="Z93" s="62"/>
      <c r="AA93" s="62">
        <f t="shared" si="23"/>
        <v>22116244.32</v>
      </c>
      <c r="AB93" s="62"/>
      <c r="AC93" s="62">
        <f t="shared" si="24"/>
        <v>5529061.0800000001</v>
      </c>
      <c r="AD93" s="62"/>
    </row>
    <row r="94" spans="2:30" s="88" customFormat="1" ht="23.25" customHeight="1" x14ac:dyDescent="0.2">
      <c r="B94" s="9" t="s">
        <v>19</v>
      </c>
      <c r="C94" s="87">
        <f>SUM(C95:C96)</f>
        <v>1416248976</v>
      </c>
      <c r="D94" s="87"/>
      <c r="E94" s="87"/>
      <c r="F94" s="87"/>
      <c r="G94" s="87"/>
      <c r="H94" s="87"/>
      <c r="I94" s="87"/>
      <c r="J94" s="87">
        <f t="shared" ref="J94:V94" si="25">SUM(J95:J96)</f>
        <v>5708252724</v>
      </c>
      <c r="K94" s="87">
        <f t="shared" si="25"/>
        <v>2884637298.8000002</v>
      </c>
      <c r="L94" s="196">
        <f>+K94/J94</f>
        <v>0.50534505710858224</v>
      </c>
      <c r="M94" s="87">
        <f t="shared" si="25"/>
        <v>2823615425.1999998</v>
      </c>
      <c r="N94" s="196">
        <f>+M94/J94</f>
        <v>0.49465494289141776</v>
      </c>
      <c r="O94" s="87">
        <f t="shared" si="25"/>
        <v>0</v>
      </c>
      <c r="P94" s="87"/>
      <c r="Q94" s="87">
        <f t="shared" si="25"/>
        <v>3333418824</v>
      </c>
      <c r="R94" s="87">
        <f t="shared" si="25"/>
        <v>1666709412</v>
      </c>
      <c r="S94" s="196">
        <f>+R94/Q94</f>
        <v>0.5</v>
      </c>
      <c r="T94" s="87">
        <f t="shared" si="25"/>
        <v>1333367529.6000001</v>
      </c>
      <c r="U94" s="196">
        <f>+T94/Q94</f>
        <v>0.4</v>
      </c>
      <c r="V94" s="87">
        <f t="shared" si="25"/>
        <v>333341882.40000004</v>
      </c>
      <c r="W94" s="198">
        <f>+V94/Q94</f>
        <v>0.1</v>
      </c>
      <c r="X94" s="87">
        <f>SUM(X95:X96)</f>
        <v>10457920524</v>
      </c>
      <c r="Y94" s="87">
        <f>SUM(Y95:Y96)</f>
        <v>4551346710.8000002</v>
      </c>
      <c r="Z94" s="196">
        <f>+Y94/X94</f>
        <v>0.43520570847283291</v>
      </c>
      <c r="AA94" s="87">
        <f>SUM(AA95:AA96)</f>
        <v>4156982954.8000002</v>
      </c>
      <c r="AB94" s="196">
        <f>+AA94/X94</f>
        <v>0.3974961317845257</v>
      </c>
      <c r="AC94" s="87">
        <f>SUM(AC95:AC96)</f>
        <v>333341882.40000004</v>
      </c>
      <c r="AD94" s="198">
        <f>+AC94/X94</f>
        <v>3.1874585548342042E-2</v>
      </c>
    </row>
    <row r="95" spans="2:30" x14ac:dyDescent="0.2">
      <c r="B95" s="12" t="s">
        <v>445</v>
      </c>
      <c r="C95" s="85">
        <f>SUM('Presupuesto detallado'!C101:E101)</f>
        <v>305109368</v>
      </c>
      <c r="D95" s="85"/>
      <c r="E95" s="85"/>
      <c r="F95" s="85"/>
      <c r="G95" s="85"/>
      <c r="H95" s="85"/>
      <c r="I95" s="85"/>
      <c r="J95" s="62">
        <f>SUM('Presupuesto detallado'!F101:O101)</f>
        <v>152554684</v>
      </c>
      <c r="K95" s="62">
        <f>J95*70%</f>
        <v>106788278.8</v>
      </c>
      <c r="L95" s="62"/>
      <c r="M95" s="62">
        <f>J95*30%</f>
        <v>45766405.199999996</v>
      </c>
      <c r="N95" s="62"/>
      <c r="O95" s="62"/>
      <c r="P95" s="62"/>
      <c r="Q95" s="62">
        <f>SUM('Presupuesto detallado'!P101:U101)</f>
        <v>0</v>
      </c>
      <c r="R95" s="62"/>
      <c r="S95" s="62"/>
      <c r="T95" s="62"/>
      <c r="U95" s="62"/>
      <c r="V95" s="62"/>
      <c r="W95" s="62"/>
      <c r="X95" s="62">
        <f>+Q95+J95+C95</f>
        <v>457664052</v>
      </c>
      <c r="Y95" s="62">
        <f t="shared" si="22"/>
        <v>106788278.8</v>
      </c>
      <c r="Z95" s="62"/>
      <c r="AA95" s="62">
        <f t="shared" si="23"/>
        <v>45766405.199999996</v>
      </c>
      <c r="AB95" s="62"/>
      <c r="AC95" s="62">
        <f t="shared" si="24"/>
        <v>0</v>
      </c>
      <c r="AD95" s="62"/>
    </row>
    <row r="96" spans="2:30" x14ac:dyDescent="0.2">
      <c r="B96" s="12" t="s">
        <v>446</v>
      </c>
      <c r="C96" s="85">
        <f>SUM('Presupuesto detallado'!C102:E102)</f>
        <v>1111139608</v>
      </c>
      <c r="D96" s="85"/>
      <c r="E96" s="85"/>
      <c r="F96" s="85"/>
      <c r="G96" s="85"/>
      <c r="H96" s="85"/>
      <c r="I96" s="85"/>
      <c r="J96" s="62">
        <f>SUM('Presupuesto detallado'!F102:O102)</f>
        <v>5555698040</v>
      </c>
      <c r="K96" s="62">
        <f>J96*50%</f>
        <v>2777849020</v>
      </c>
      <c r="L96" s="62"/>
      <c r="M96" s="62">
        <f>J96*50%</f>
        <v>2777849020</v>
      </c>
      <c r="N96" s="62"/>
      <c r="O96" s="62"/>
      <c r="P96" s="62"/>
      <c r="Q96" s="62">
        <f>SUM('Presupuesto detallado'!P102:U102)</f>
        <v>3333418824</v>
      </c>
      <c r="R96" s="62">
        <f>Q96*50%</f>
        <v>1666709412</v>
      </c>
      <c r="S96" s="62"/>
      <c r="T96" s="62">
        <f>Q96*40%</f>
        <v>1333367529.6000001</v>
      </c>
      <c r="U96" s="62"/>
      <c r="V96" s="62">
        <f>Q96*10%</f>
        <v>333341882.40000004</v>
      </c>
      <c r="W96" s="62"/>
      <c r="X96" s="62">
        <f>+Q96+J96+C96</f>
        <v>10000256472</v>
      </c>
      <c r="Y96" s="62">
        <f t="shared" si="22"/>
        <v>4444558432</v>
      </c>
      <c r="Z96" s="62"/>
      <c r="AA96" s="62">
        <f t="shared" si="23"/>
        <v>4111216549.6000004</v>
      </c>
      <c r="AB96" s="62"/>
      <c r="AC96" s="62">
        <f t="shared" si="24"/>
        <v>333341882.40000004</v>
      </c>
      <c r="AD96" s="62"/>
    </row>
    <row r="97" spans="2:30" s="89" customFormat="1" ht="15" customHeight="1" x14ac:dyDescent="0.25">
      <c r="B97" s="8" t="s">
        <v>20</v>
      </c>
      <c r="C97" s="64">
        <f>+C98+C104</f>
        <v>721100334.20000005</v>
      </c>
      <c r="D97" s="64"/>
      <c r="E97" s="64"/>
      <c r="F97" s="64"/>
      <c r="G97" s="64"/>
      <c r="H97" s="64"/>
      <c r="I97" s="64"/>
      <c r="J97" s="64">
        <f>+J98+J104</f>
        <v>395070713062.20001</v>
      </c>
      <c r="K97" s="64"/>
      <c r="L97" s="64"/>
      <c r="M97" s="64"/>
      <c r="N97" s="64"/>
      <c r="O97" s="64"/>
      <c r="P97" s="64"/>
      <c r="Q97" s="64">
        <f>+Q98+Q104</f>
        <v>708845145.5999999</v>
      </c>
      <c r="R97" s="64"/>
      <c r="S97" s="64"/>
      <c r="T97" s="64"/>
      <c r="U97" s="64"/>
      <c r="V97" s="64"/>
      <c r="W97" s="64"/>
      <c r="X97" s="64">
        <f>+X98+X104</f>
        <v>396500658542</v>
      </c>
      <c r="Y97" s="64">
        <f>+Y98+Y104</f>
        <v>3378933076.2699995</v>
      </c>
      <c r="Z97" s="64"/>
      <c r="AA97" s="64">
        <f>+AA98+AA104</f>
        <v>1617228251.8099999</v>
      </c>
      <c r="AB97" s="64"/>
      <c r="AC97" s="64">
        <f>+AC98+AC104</f>
        <v>65906028.519999996</v>
      </c>
      <c r="AD97" s="64"/>
    </row>
    <row r="98" spans="2:30" s="89" customFormat="1" ht="24" x14ac:dyDescent="0.2">
      <c r="B98" s="9" t="s">
        <v>21</v>
      </c>
      <c r="C98" s="64">
        <f>SUM(C99:C103)</f>
        <v>721100334.20000005</v>
      </c>
      <c r="D98" s="64">
        <f>SUM(D99:D103)</f>
        <v>504770233.93999994</v>
      </c>
      <c r="E98" s="196">
        <f>+D98/C98</f>
        <v>0.69999999999999984</v>
      </c>
      <c r="F98" s="64">
        <f>SUM(F99:F103)</f>
        <v>216330100.25999999</v>
      </c>
      <c r="G98" s="196">
        <f>+F98/C98</f>
        <v>0.3</v>
      </c>
      <c r="H98" s="64"/>
      <c r="I98" s="64"/>
      <c r="J98" s="64">
        <f>SUM(J99:J103)</f>
        <v>1884741198.1999998</v>
      </c>
      <c r="K98" s="64">
        <f>SUM(K99:K103)</f>
        <v>1319318838.74</v>
      </c>
      <c r="L98" s="196">
        <f>+K98/J98</f>
        <v>0.70000000000000007</v>
      </c>
      <c r="M98" s="64">
        <f>SUM(M99:M103)</f>
        <v>529427980.63999999</v>
      </c>
      <c r="N98" s="196">
        <f>+M98/J98</f>
        <v>0.28090221678478933</v>
      </c>
      <c r="O98" s="64">
        <f>SUM(O99:O103)</f>
        <v>35994378.82</v>
      </c>
      <c r="P98" s="196">
        <f>+O98/J98</f>
        <v>1.9097783215210669E-2</v>
      </c>
      <c r="Q98" s="64">
        <f>SUM(Q99:Q103)</f>
        <v>229728648.59999996</v>
      </c>
      <c r="R98" s="64">
        <f>SUM(R99:R103)</f>
        <v>42796224.239999995</v>
      </c>
      <c r="S98" s="196">
        <f>+R98/Q98</f>
        <v>0.18629032339155979</v>
      </c>
      <c r="T98" s="64">
        <f>SUM(T99:T103)</f>
        <v>18341238.959999997</v>
      </c>
      <c r="U98" s="196">
        <f>+T98/Q98</f>
        <v>7.9838710024954199E-2</v>
      </c>
      <c r="V98" s="64"/>
      <c r="W98" s="64"/>
      <c r="X98" s="64">
        <f>SUM(X99:X103)</f>
        <v>2835570181</v>
      </c>
      <c r="Y98" s="64">
        <f>SUM(Y99:Y103)</f>
        <v>1866885296.9199998</v>
      </c>
      <c r="Z98" s="196">
        <f>+Y98/X98</f>
        <v>0.65838091732986803</v>
      </c>
      <c r="AA98" s="64">
        <f>SUM(AA99:AA103)</f>
        <v>764099319.86000001</v>
      </c>
      <c r="AB98" s="196">
        <f>+AA98/X98</f>
        <v>0.26946937338384996</v>
      </c>
      <c r="AC98" s="64">
        <f>SUM(AC99:AC103)</f>
        <v>35994378.82</v>
      </c>
      <c r="AD98" s="198">
        <f>+AC98/X98</f>
        <v>1.2693876900379212E-2</v>
      </c>
    </row>
    <row r="99" spans="2:30" ht="24" x14ac:dyDescent="0.2">
      <c r="B99" s="12" t="s">
        <v>541</v>
      </c>
      <c r="C99" s="85">
        <f>SUM('Presupuesto detallado'!C105:E105)</f>
        <v>359943788.19999999</v>
      </c>
      <c r="D99" s="85">
        <f>C99*70%</f>
        <v>251960651.73999998</v>
      </c>
      <c r="E99" s="85"/>
      <c r="F99" s="85">
        <f>C99*30%</f>
        <v>107983136.45999999</v>
      </c>
      <c r="G99" s="85"/>
      <c r="H99" s="85"/>
      <c r="I99" s="85"/>
      <c r="J99" s="62">
        <f>SUM('Presupuesto detallado'!F105:O105)</f>
        <v>359943788.19999999</v>
      </c>
      <c r="K99" s="62">
        <f>J99*70%</f>
        <v>251960651.73999998</v>
      </c>
      <c r="L99" s="62"/>
      <c r="M99" s="62">
        <f>J99*20%</f>
        <v>71988757.640000001</v>
      </c>
      <c r="N99" s="62"/>
      <c r="O99" s="62">
        <f>J99*10%</f>
        <v>35994378.82</v>
      </c>
      <c r="P99" s="62"/>
      <c r="Q99" s="62">
        <f>SUM('Presupuesto detallado'!P105:U105)</f>
        <v>0</v>
      </c>
      <c r="R99" s="62"/>
      <c r="S99" s="62"/>
      <c r="T99" s="62"/>
      <c r="U99" s="62"/>
      <c r="V99" s="62"/>
      <c r="W99" s="62"/>
      <c r="X99" s="62">
        <f>+Q99+J99+C99</f>
        <v>719887576.39999998</v>
      </c>
      <c r="Y99" s="62">
        <f>+D99+K99+R99</f>
        <v>503921303.47999996</v>
      </c>
      <c r="Z99" s="62"/>
      <c r="AA99" s="62">
        <f>+F99+M99+T99</f>
        <v>179971894.09999999</v>
      </c>
      <c r="AB99" s="62"/>
      <c r="AC99" s="62">
        <f>+H99+O99+V99</f>
        <v>35994378.82</v>
      </c>
      <c r="AD99" s="62"/>
    </row>
    <row r="100" spans="2:30" ht="27" customHeight="1" x14ac:dyDescent="0.2">
      <c r="B100" s="12" t="s">
        <v>448</v>
      </c>
      <c r="C100" s="85">
        <f>SUM('Presupuesto detallado'!C106:E106)</f>
        <v>0</v>
      </c>
      <c r="D100" s="85"/>
      <c r="E100" s="85"/>
      <c r="F100" s="85"/>
      <c r="G100" s="85"/>
      <c r="H100" s="85"/>
      <c r="I100" s="85"/>
      <c r="J100" s="62">
        <f>SUM('Presupuesto detallado'!F106:O106)</f>
        <v>183412389.59999999</v>
      </c>
      <c r="K100" s="62">
        <f>J100*70%</f>
        <v>128388672.71999998</v>
      </c>
      <c r="L100" s="62"/>
      <c r="M100" s="62">
        <f>J100*30%</f>
        <v>55023716.879999995</v>
      </c>
      <c r="N100" s="62"/>
      <c r="O100" s="62"/>
      <c r="P100" s="62"/>
      <c r="Q100" s="62">
        <f>SUM('Presupuesto detallado'!P106:U106)</f>
        <v>61137463.199999996</v>
      </c>
      <c r="R100" s="62">
        <f>+Q100*70%</f>
        <v>42796224.239999995</v>
      </c>
      <c r="S100" s="62"/>
      <c r="T100" s="62">
        <f>+Q100*30%</f>
        <v>18341238.959999997</v>
      </c>
      <c r="U100" s="62"/>
      <c r="V100" s="62"/>
      <c r="W100" s="62"/>
      <c r="X100" s="62">
        <f>+Q100+J100+C100</f>
        <v>244549852.79999998</v>
      </c>
      <c r="Y100" s="62">
        <f>+D100+K100+R100</f>
        <v>171184896.95999998</v>
      </c>
      <c r="Z100" s="62"/>
      <c r="AA100" s="62">
        <f>+F100+M100+T100</f>
        <v>73364955.839999989</v>
      </c>
      <c r="AB100" s="62"/>
      <c r="AC100" s="62">
        <f>+H100+O100+V100</f>
        <v>0</v>
      </c>
      <c r="AD100" s="62"/>
    </row>
    <row r="101" spans="2:30" ht="39.75" customHeight="1" x14ac:dyDescent="0.2">
      <c r="B101" s="12" t="s">
        <v>449</v>
      </c>
      <c r="C101" s="85">
        <f>SUM('Presupuesto detallado'!C107:E107)</f>
        <v>0</v>
      </c>
      <c r="D101" s="85"/>
      <c r="E101" s="85"/>
      <c r="F101" s="85"/>
      <c r="G101" s="85"/>
      <c r="H101" s="85"/>
      <c r="I101" s="85"/>
      <c r="J101" s="62">
        <f>SUM('Presupuesto detallado'!F107:O107)</f>
        <v>168591185.39999998</v>
      </c>
      <c r="K101" s="62">
        <f>+J101*70%</f>
        <v>118013829.77999997</v>
      </c>
      <c r="L101" s="62"/>
      <c r="M101" s="62">
        <f>+J101*30%</f>
        <v>50577355.61999999</v>
      </c>
      <c r="N101" s="62"/>
      <c r="O101" s="62"/>
      <c r="P101" s="62"/>
      <c r="Q101" s="62">
        <f>SUM('Presupuesto detallado'!P107:U107)</f>
        <v>168591185.39999998</v>
      </c>
      <c r="R101" s="62"/>
      <c r="S101" s="62"/>
      <c r="T101" s="62"/>
      <c r="U101" s="62"/>
      <c r="V101" s="62"/>
      <c r="W101" s="62"/>
      <c r="X101" s="62">
        <f>+Q101+J101+C101</f>
        <v>337182370.79999995</v>
      </c>
      <c r="Y101" s="62">
        <f>+D101+K101+R101</f>
        <v>118013829.77999997</v>
      </c>
      <c r="Z101" s="62"/>
      <c r="AA101" s="62">
        <f>+F101+M101+T101</f>
        <v>50577355.61999999</v>
      </c>
      <c r="AB101" s="62"/>
      <c r="AC101" s="62">
        <f>+H101+O101+V101</f>
        <v>0</v>
      </c>
      <c r="AD101" s="62"/>
    </row>
    <row r="102" spans="2:30" ht="40.5" customHeight="1" x14ac:dyDescent="0.2">
      <c r="B102" s="12" t="s">
        <v>450</v>
      </c>
      <c r="C102" s="85">
        <f>SUM('Presupuesto detallado'!C108:E108)</f>
        <v>126597779</v>
      </c>
      <c r="D102" s="85">
        <f>C102*70%</f>
        <v>88618445.299999997</v>
      </c>
      <c r="E102" s="85"/>
      <c r="F102" s="85">
        <f>C102*30%</f>
        <v>37979333.699999996</v>
      </c>
      <c r="G102" s="85"/>
      <c r="H102" s="85"/>
      <c r="I102" s="85"/>
      <c r="J102" s="62">
        <f>SUM('Presupuesto detallado'!F108:O108)</f>
        <v>0</v>
      </c>
      <c r="K102" s="62"/>
      <c r="L102" s="62"/>
      <c r="M102" s="62"/>
      <c r="N102" s="62"/>
      <c r="O102" s="62"/>
      <c r="P102" s="62"/>
      <c r="Q102" s="62">
        <f>SUM('Presupuesto detallado'!P108:U108)</f>
        <v>0</v>
      </c>
      <c r="R102" s="62"/>
      <c r="S102" s="62"/>
      <c r="T102" s="62"/>
      <c r="U102" s="62"/>
      <c r="V102" s="62"/>
      <c r="W102" s="62"/>
      <c r="X102" s="62">
        <f>+Q102+J102+C102</f>
        <v>126597779</v>
      </c>
      <c r="Y102" s="62">
        <f>+D102+K102+R102</f>
        <v>88618445.299999997</v>
      </c>
      <c r="Z102" s="62"/>
      <c r="AA102" s="62">
        <f>+F102+M102+T102</f>
        <v>37979333.699999996</v>
      </c>
      <c r="AB102" s="62"/>
      <c r="AC102" s="62">
        <f>+H102+O102+V102</f>
        <v>0</v>
      </c>
      <c r="AD102" s="62"/>
    </row>
    <row r="103" spans="2:30" ht="36" x14ac:dyDescent="0.2">
      <c r="B103" s="12" t="s">
        <v>451</v>
      </c>
      <c r="C103" s="85">
        <f>SUM('Presupuesto detallado'!C109:E109)</f>
        <v>234558767</v>
      </c>
      <c r="D103" s="85">
        <f>C103*70%</f>
        <v>164191136.89999998</v>
      </c>
      <c r="E103" s="85"/>
      <c r="F103" s="85">
        <f>C103*30%</f>
        <v>70367630.099999994</v>
      </c>
      <c r="G103" s="85"/>
      <c r="H103" s="85"/>
      <c r="I103" s="85"/>
      <c r="J103" s="62">
        <f>SUM('Presupuesto detallado'!F109:O109)</f>
        <v>1172793835</v>
      </c>
      <c r="K103" s="62">
        <f>J103*70%</f>
        <v>820955684.5</v>
      </c>
      <c r="L103" s="62"/>
      <c r="M103" s="62">
        <f>J103*30%</f>
        <v>351838150.5</v>
      </c>
      <c r="N103" s="62"/>
      <c r="O103" s="62"/>
      <c r="P103" s="62"/>
      <c r="Q103" s="62">
        <f>SUM('Presupuesto detallado'!P109:U109)</f>
        <v>0</v>
      </c>
      <c r="R103" s="62"/>
      <c r="S103" s="62"/>
      <c r="T103" s="62"/>
      <c r="U103" s="62"/>
      <c r="V103" s="62"/>
      <c r="W103" s="62"/>
      <c r="X103" s="62">
        <f>+Q103+J103+C103</f>
        <v>1407352602</v>
      </c>
      <c r="Y103" s="62">
        <f>+D103+K103+R103</f>
        <v>985146821.39999998</v>
      </c>
      <c r="Z103" s="62"/>
      <c r="AA103" s="62">
        <f>+F103+M103+T103</f>
        <v>422205780.60000002</v>
      </c>
      <c r="AB103" s="62"/>
      <c r="AC103" s="62">
        <f>+H103+O103+V103</f>
        <v>0</v>
      </c>
      <c r="AD103" s="62"/>
    </row>
    <row r="104" spans="2:30" s="88" customFormat="1" x14ac:dyDescent="0.2">
      <c r="B104" s="9" t="s">
        <v>22</v>
      </c>
      <c r="C104" s="87"/>
      <c r="D104" s="87"/>
      <c r="E104" s="87"/>
      <c r="F104" s="87"/>
      <c r="G104" s="87"/>
      <c r="H104" s="87"/>
      <c r="I104" s="87"/>
      <c r="J104" s="87">
        <f>SUM(J105:J109)</f>
        <v>393185971864</v>
      </c>
      <c r="K104" s="87">
        <f>SUM(K105:K109)</f>
        <v>1332577881.1500001</v>
      </c>
      <c r="L104" s="196">
        <f>+K104/J104</f>
        <v>3.3891796160289474E-3</v>
      </c>
      <c r="M104" s="87">
        <f>SUM(M105:M109)</f>
        <v>763393982.85000002</v>
      </c>
      <c r="N104" s="196">
        <f>+M104/J104</f>
        <v>1.9415595608127446E-3</v>
      </c>
      <c r="O104" s="87"/>
      <c r="P104" s="87"/>
      <c r="Q104" s="87">
        <f>SUM(Q105:Q109)</f>
        <v>479116497</v>
      </c>
      <c r="R104" s="87">
        <f>SUM(R105:R109)</f>
        <v>179469898.19999999</v>
      </c>
      <c r="S104" s="196">
        <f>+R104/Q104</f>
        <v>0.3745850942803165</v>
      </c>
      <c r="T104" s="87">
        <f>SUM(T105:T109)</f>
        <v>89734949.099999994</v>
      </c>
      <c r="U104" s="196">
        <f>+T104/Q104</f>
        <v>0.18729254714015825</v>
      </c>
      <c r="V104" s="87">
        <f>SUM(V105:V109)</f>
        <v>29911649.699999999</v>
      </c>
      <c r="W104" s="198">
        <f>+V104/Q104</f>
        <v>6.2430849046719424E-2</v>
      </c>
      <c r="X104" s="87">
        <f>SUM(X105:X109)</f>
        <v>393665088361</v>
      </c>
      <c r="Y104" s="87">
        <f>SUM(Y105:Y109)</f>
        <v>1512047779.3499999</v>
      </c>
      <c r="Z104" s="196">
        <f>+Y104/X104</f>
        <v>3.8409496398202755E-3</v>
      </c>
      <c r="AA104" s="87">
        <f>SUM(AA105:AA109)</f>
        <v>853128931.95000005</v>
      </c>
      <c r="AB104" s="196">
        <f>+AA104/X104</f>
        <v>2.1671439941549023E-3</v>
      </c>
      <c r="AC104" s="87">
        <f>SUM(AC105:AC109)</f>
        <v>29911649.699999999</v>
      </c>
      <c r="AD104" s="198">
        <f>+AC104/X104</f>
        <v>7.5982479992155985E-5</v>
      </c>
    </row>
    <row r="105" spans="2:30" ht="24" x14ac:dyDescent="0.2">
      <c r="B105" s="12" t="s">
        <v>459</v>
      </c>
      <c r="C105" s="85">
        <f>SUM('Presupuesto detallado'!C111:E111)</f>
        <v>0</v>
      </c>
      <c r="D105" s="85"/>
      <c r="E105" s="85"/>
      <c r="F105" s="85"/>
      <c r="G105" s="85"/>
      <c r="H105" s="85"/>
      <c r="I105" s="85"/>
      <c r="J105" s="62">
        <f>SUM('Presupuesto detallado'!F111:O111)</f>
        <v>749947627.5</v>
      </c>
      <c r="K105" s="62">
        <f>J105*70%</f>
        <v>524963339.24999994</v>
      </c>
      <c r="L105" s="62"/>
      <c r="M105" s="62">
        <f>J105*30%</f>
        <v>224984288.25</v>
      </c>
      <c r="N105" s="62"/>
      <c r="O105" s="62"/>
      <c r="P105" s="62"/>
      <c r="Q105" s="62">
        <f>SUM('Presupuesto detallado'!P111:U111)</f>
        <v>0</v>
      </c>
      <c r="R105" s="62"/>
      <c r="S105" s="62"/>
      <c r="T105" s="62"/>
      <c r="U105" s="62"/>
      <c r="V105" s="62"/>
      <c r="W105" s="62"/>
      <c r="X105" s="62">
        <f>+Q105+J105+C105</f>
        <v>749947627.5</v>
      </c>
      <c r="Y105" s="62">
        <f>+D105+K105+R105</f>
        <v>524963339.24999994</v>
      </c>
      <c r="Z105" s="62"/>
      <c r="AA105" s="62">
        <f>+F105+M105+T105</f>
        <v>224984288.25</v>
      </c>
      <c r="AB105" s="62"/>
      <c r="AC105" s="62">
        <f>+H105+O105+V105</f>
        <v>0</v>
      </c>
      <c r="AD105" s="62"/>
    </row>
    <row r="106" spans="2:30" ht="28.5" customHeight="1" x14ac:dyDescent="0.2">
      <c r="B106" s="12" t="s">
        <v>460</v>
      </c>
      <c r="C106" s="85">
        <f>SUM('Presupuesto detallado'!C112:E112)</f>
        <v>0</v>
      </c>
      <c r="D106" s="85"/>
      <c r="E106" s="85"/>
      <c r="F106" s="85"/>
      <c r="G106" s="85"/>
      <c r="H106" s="85"/>
      <c r="I106" s="85"/>
      <c r="J106" s="62">
        <f>SUM('Presupuesto detallado'!F112:O112)</f>
        <v>812460915</v>
      </c>
      <c r="K106" s="62">
        <f>J106*60%</f>
        <v>487476549</v>
      </c>
      <c r="L106" s="62"/>
      <c r="M106" s="62">
        <f>J106*40%</f>
        <v>324984366</v>
      </c>
      <c r="N106" s="62"/>
      <c r="O106" s="62"/>
      <c r="P106" s="62"/>
      <c r="Q106" s="62">
        <f>SUM('Presupuesto detallado'!P112:U112)</f>
        <v>180546870</v>
      </c>
      <c r="R106" s="62">
        <f>Q106*60%</f>
        <v>108328122</v>
      </c>
      <c r="S106" s="62"/>
      <c r="T106" s="62">
        <f>Q106*30%</f>
        <v>54164061</v>
      </c>
      <c r="U106" s="62"/>
      <c r="V106" s="62">
        <f>Q106*10%</f>
        <v>18054687</v>
      </c>
      <c r="W106" s="62"/>
      <c r="X106" s="62">
        <f>+Q106+J106+C106</f>
        <v>993007785</v>
      </c>
      <c r="Y106" s="62">
        <f>+D106+K106+R106</f>
        <v>595804671</v>
      </c>
      <c r="Z106" s="62"/>
      <c r="AA106" s="62">
        <f>+F106+M106+T106</f>
        <v>379148427</v>
      </c>
      <c r="AB106" s="62"/>
      <c r="AC106" s="62">
        <f>+H106+O106+V106</f>
        <v>18054687</v>
      </c>
      <c r="AD106" s="62"/>
    </row>
    <row r="107" spans="2:30" ht="27" customHeight="1" x14ac:dyDescent="0.2">
      <c r="B107" s="12" t="s">
        <v>461</v>
      </c>
      <c r="C107" s="85">
        <f>SUM('Presupuesto detallado'!C113:E113)</f>
        <v>0</v>
      </c>
      <c r="D107" s="85"/>
      <c r="E107" s="85"/>
      <c r="F107" s="85"/>
      <c r="G107" s="85"/>
      <c r="H107" s="85"/>
      <c r="I107" s="85"/>
      <c r="J107" s="62">
        <f>SUM('Presupuesto detallado'!F113:O113)</f>
        <v>533563321.49999994</v>
      </c>
      <c r="K107" s="62">
        <f>J107*60%</f>
        <v>320137992.89999998</v>
      </c>
      <c r="L107" s="62"/>
      <c r="M107" s="62">
        <f>J107*40%</f>
        <v>213425328.59999999</v>
      </c>
      <c r="N107" s="62"/>
      <c r="O107" s="62"/>
      <c r="P107" s="62"/>
      <c r="Q107" s="62">
        <f>SUM('Presupuesto detallado'!P113:U113)</f>
        <v>118569626.99999999</v>
      </c>
      <c r="R107" s="62">
        <f>Q107*60%</f>
        <v>71141776.199999988</v>
      </c>
      <c r="S107" s="62"/>
      <c r="T107" s="62">
        <f>Q107*30%</f>
        <v>35570888.099999994</v>
      </c>
      <c r="U107" s="62"/>
      <c r="V107" s="62">
        <f>Q107*10%</f>
        <v>11856962.699999999</v>
      </c>
      <c r="W107" s="62"/>
      <c r="X107" s="62">
        <f>+Q107+J107+C107</f>
        <v>652132948.49999988</v>
      </c>
      <c r="Y107" s="62">
        <f>+D107+K107+R107</f>
        <v>391279769.09999996</v>
      </c>
      <c r="Z107" s="62"/>
      <c r="AA107" s="62">
        <f>+F107+M107+T107</f>
        <v>248996216.69999999</v>
      </c>
      <c r="AB107" s="62"/>
      <c r="AC107" s="62">
        <f>+H107+O107+V107</f>
        <v>11856962.699999999</v>
      </c>
      <c r="AD107" s="62"/>
    </row>
    <row r="108" spans="2:30" ht="29.25" customHeight="1" x14ac:dyDescent="0.2">
      <c r="B108" s="12" t="s">
        <v>462</v>
      </c>
      <c r="C108" s="85">
        <f>SUM('Presupuesto detallado'!C114:E114)</f>
        <v>0</v>
      </c>
      <c r="D108" s="85"/>
      <c r="E108" s="85"/>
      <c r="F108" s="85"/>
      <c r="G108" s="85"/>
      <c r="H108" s="85"/>
      <c r="I108" s="85"/>
      <c r="J108" s="62">
        <f>SUM('Presupuesto detallado'!F114:O114)</f>
        <v>390280000000</v>
      </c>
      <c r="K108" s="62"/>
      <c r="L108" s="62"/>
      <c r="M108" s="62"/>
      <c r="N108" s="62"/>
      <c r="O108" s="62"/>
      <c r="P108" s="62"/>
      <c r="Q108" s="62">
        <f>SUM('Presupuesto detallado'!P114:U114)</f>
        <v>0</v>
      </c>
      <c r="R108" s="62"/>
      <c r="S108" s="62"/>
      <c r="T108" s="62"/>
      <c r="U108" s="62"/>
      <c r="V108" s="62"/>
      <c r="W108" s="62"/>
      <c r="X108" s="62">
        <f>+Q108+J108+C108</f>
        <v>390280000000</v>
      </c>
      <c r="Y108" s="62"/>
      <c r="Z108" s="62"/>
      <c r="AA108" s="62"/>
      <c r="AB108" s="62"/>
      <c r="AC108" s="62"/>
      <c r="AD108" s="62"/>
    </row>
    <row r="109" spans="2:30" ht="26.25" customHeight="1" x14ac:dyDescent="0.2">
      <c r="B109" s="12" t="s">
        <v>463</v>
      </c>
      <c r="C109" s="85">
        <f>SUM('Presupuesto detallado'!C115:E115)</f>
        <v>0</v>
      </c>
      <c r="D109" s="85"/>
      <c r="E109" s="85"/>
      <c r="F109" s="85"/>
      <c r="G109" s="85"/>
      <c r="H109" s="85"/>
      <c r="I109" s="85"/>
      <c r="J109" s="62">
        <f>SUM('Presupuesto detallado'!F115:O115)</f>
        <v>810000000</v>
      </c>
      <c r="K109" s="62"/>
      <c r="L109" s="62"/>
      <c r="M109" s="62"/>
      <c r="N109" s="62"/>
      <c r="O109" s="62"/>
      <c r="P109" s="62"/>
      <c r="Q109" s="62">
        <f>SUM('Presupuesto detallado'!P115:U115)</f>
        <v>180000000</v>
      </c>
      <c r="R109" s="62"/>
      <c r="S109" s="62"/>
      <c r="T109" s="62"/>
      <c r="U109" s="62"/>
      <c r="V109" s="62"/>
      <c r="W109" s="62"/>
      <c r="X109" s="62">
        <f>+Q109+J109+C109</f>
        <v>990000000</v>
      </c>
      <c r="Y109" s="62"/>
      <c r="Z109" s="62"/>
      <c r="AA109" s="62"/>
      <c r="AB109" s="62"/>
      <c r="AC109" s="62"/>
      <c r="AD109" s="62"/>
    </row>
    <row r="110" spans="2:30" s="88" customFormat="1" ht="16.5" customHeight="1" x14ac:dyDescent="0.2">
      <c r="B110" s="8" t="s">
        <v>23</v>
      </c>
      <c r="C110" s="87">
        <f>+C111+C117</f>
        <v>4617136224</v>
      </c>
      <c r="D110" s="87"/>
      <c r="E110" s="87"/>
      <c r="F110" s="87"/>
      <c r="G110" s="87"/>
      <c r="H110" s="87"/>
      <c r="I110" s="87"/>
      <c r="J110" s="87">
        <f>+J111+J117</f>
        <v>25392010374.5</v>
      </c>
      <c r="K110" s="87"/>
      <c r="L110" s="87"/>
      <c r="M110" s="87"/>
      <c r="N110" s="87"/>
      <c r="O110" s="87"/>
      <c r="P110" s="87"/>
      <c r="Q110" s="87">
        <f>+Q111+Q117</f>
        <v>11272127508.5</v>
      </c>
      <c r="R110" s="87"/>
      <c r="S110" s="87"/>
      <c r="T110" s="87"/>
      <c r="U110" s="87"/>
      <c r="V110" s="87"/>
      <c r="W110" s="87"/>
      <c r="X110" s="87">
        <f>+X111+X117</f>
        <v>41281274107</v>
      </c>
      <c r="Y110" s="87">
        <f>+Y111+Y117</f>
        <v>8512295554.2600002</v>
      </c>
      <c r="Z110" s="87"/>
      <c r="AA110" s="87">
        <f>+AA111+AA117</f>
        <v>1611005694.4400001</v>
      </c>
      <c r="AB110" s="87"/>
      <c r="AC110" s="87">
        <f>+AC111+AC117</f>
        <v>257654971.79999998</v>
      </c>
      <c r="AD110" s="87"/>
    </row>
    <row r="111" spans="2:30" s="88" customFormat="1" ht="15.75" customHeight="1" x14ac:dyDescent="0.2">
      <c r="B111" s="9" t="s">
        <v>24</v>
      </c>
      <c r="C111" s="87">
        <f>SUM(C112:C116)</f>
        <v>4175240452</v>
      </c>
      <c r="D111" s="87">
        <f>SUM(D112:D116)</f>
        <v>1520351604</v>
      </c>
      <c r="E111" s="198">
        <f>+D111/C111</f>
        <v>0.36413510107465302</v>
      </c>
      <c r="F111" s="87">
        <f>SUM(F112:F116)</f>
        <v>723711914</v>
      </c>
      <c r="G111" s="198">
        <f>+F111/C111</f>
        <v>0.17333418813120849</v>
      </c>
      <c r="H111" s="87"/>
      <c r="I111" s="87"/>
      <c r="J111" s="87">
        <f>SUM(J112:J116)</f>
        <v>15113160468.5</v>
      </c>
      <c r="K111" s="87">
        <f>SUM(K112:K116)</f>
        <v>395232090</v>
      </c>
      <c r="L111" s="198">
        <f>+K111/J111</f>
        <v>2.6151518130424992E-2</v>
      </c>
      <c r="M111" s="87"/>
      <c r="N111" s="87"/>
      <c r="O111" s="87"/>
      <c r="P111" s="87"/>
      <c r="Q111" s="87">
        <f>SUM(Q112:Q116)</f>
        <v>6012127508.5</v>
      </c>
      <c r="R111" s="87">
        <f>SUM(R112:R116)</f>
        <v>260914934.5</v>
      </c>
      <c r="S111" s="198">
        <f>+R111/Q111</f>
        <v>4.3398103937602142E-2</v>
      </c>
      <c r="T111" s="87"/>
      <c r="U111" s="87"/>
      <c r="V111" s="87"/>
      <c r="W111" s="87"/>
      <c r="X111" s="87">
        <f>SUM(X112:X116)</f>
        <v>25300528429</v>
      </c>
      <c r="Y111" s="87">
        <f>SUM(Y112:Y116)</f>
        <v>2176498628.5</v>
      </c>
      <c r="Z111" s="198">
        <f>+Y111/X111</f>
        <v>8.6025816994606777E-2</v>
      </c>
      <c r="AA111" s="87">
        <f>SUM(AA112:AA116)</f>
        <v>723711914</v>
      </c>
      <c r="AB111" s="198">
        <f>+AA111/X111</f>
        <v>2.8604616541149635E-2</v>
      </c>
      <c r="AC111" s="87"/>
      <c r="AD111" s="87"/>
    </row>
    <row r="112" spans="2:30" ht="51" customHeight="1" x14ac:dyDescent="0.2">
      <c r="B112" s="12" t="s">
        <v>465</v>
      </c>
      <c r="C112" s="85">
        <f>SUM('Presupuesto detallado'!C118:E118)</f>
        <v>619418449</v>
      </c>
      <c r="D112" s="85">
        <f>+C112*50%</f>
        <v>309709224.5</v>
      </c>
      <c r="E112" s="85"/>
      <c r="F112" s="85">
        <f>+C112*50%</f>
        <v>309709224.5</v>
      </c>
      <c r="G112" s="85"/>
      <c r="H112" s="85"/>
      <c r="I112" s="85"/>
      <c r="J112" s="62">
        <f>SUM('Presupuesto detallado'!F118:O118)</f>
        <v>126597779</v>
      </c>
      <c r="K112" s="62">
        <f>+J112</f>
        <v>126597779</v>
      </c>
      <c r="L112" s="62"/>
      <c r="M112" s="62"/>
      <c r="N112" s="62"/>
      <c r="O112" s="62"/>
      <c r="P112" s="62"/>
      <c r="Q112" s="62">
        <f>SUM('Presupuesto detallado'!P118:U118)</f>
        <v>126597779</v>
      </c>
      <c r="R112" s="62">
        <f>+Q112</f>
        <v>126597779</v>
      </c>
      <c r="S112" s="62"/>
      <c r="T112" s="62"/>
      <c r="U112" s="62"/>
      <c r="V112" s="62"/>
      <c r="W112" s="62"/>
      <c r="X112" s="62">
        <f>+Q112+J112+C112</f>
        <v>872614007</v>
      </c>
      <c r="Y112" s="62">
        <f t="shared" ref="Y112:Y122" si="26">+D112+K112+R112</f>
        <v>562904782.5</v>
      </c>
      <c r="Z112" s="62"/>
      <c r="AA112" s="62">
        <f>+F112+M112+T112</f>
        <v>309709224.5</v>
      </c>
      <c r="AB112" s="62"/>
      <c r="AC112" s="62"/>
      <c r="AD112" s="62"/>
    </row>
    <row r="113" spans="2:30" ht="40.5" customHeight="1" x14ac:dyDescent="0.2">
      <c r="B113" s="12" t="s">
        <v>466</v>
      </c>
      <c r="C113" s="85">
        <f>SUM('Presupuesto detallado'!C119:E119)</f>
        <v>528005379</v>
      </c>
      <c r="D113" s="85">
        <f>+C113</f>
        <v>528005379</v>
      </c>
      <c r="E113" s="85"/>
      <c r="F113" s="85"/>
      <c r="G113" s="85"/>
      <c r="H113" s="85"/>
      <c r="I113" s="85"/>
      <c r="J113" s="62">
        <f>SUM('Presupuesto detallado'!F119:O119)</f>
        <v>0</v>
      </c>
      <c r="K113" s="62">
        <v>0</v>
      </c>
      <c r="L113" s="62"/>
      <c r="M113" s="62"/>
      <c r="N113" s="62"/>
      <c r="O113" s="62"/>
      <c r="P113" s="62"/>
      <c r="Q113" s="62">
        <f>SUM('Presupuesto detallado'!P119:U119)</f>
        <v>0</v>
      </c>
      <c r="R113" s="62">
        <v>0</v>
      </c>
      <c r="S113" s="62"/>
      <c r="T113" s="62"/>
      <c r="U113" s="62"/>
      <c r="V113" s="62"/>
      <c r="W113" s="62"/>
      <c r="X113" s="62">
        <f>+Q113+J113+C113</f>
        <v>528005379</v>
      </c>
      <c r="Y113" s="62">
        <f t="shared" si="26"/>
        <v>528005379</v>
      </c>
      <c r="Z113" s="62"/>
      <c r="AA113" s="62">
        <f>+F113+M113+T113</f>
        <v>0</v>
      </c>
      <c r="AB113" s="62"/>
      <c r="AC113" s="62"/>
      <c r="AD113" s="62"/>
    </row>
    <row r="114" spans="2:30" ht="28.5" customHeight="1" x14ac:dyDescent="0.2">
      <c r="B114" s="12" t="s">
        <v>467</v>
      </c>
      <c r="C114" s="85">
        <f>SUM('Presupuesto detallado'!C120:E120)</f>
        <v>828005379</v>
      </c>
      <c r="D114" s="85">
        <f>+C114*50%</f>
        <v>414002689.5</v>
      </c>
      <c r="E114" s="85"/>
      <c r="F114" s="85">
        <f>+C114*50%</f>
        <v>414002689.5</v>
      </c>
      <c r="G114" s="85"/>
      <c r="H114" s="85"/>
      <c r="I114" s="85"/>
      <c r="J114" s="62">
        <f>SUM('Presupuesto detallado'!F120:O120)</f>
        <v>1242008068.5</v>
      </c>
      <c r="K114" s="62">
        <v>0</v>
      </c>
      <c r="L114" s="62"/>
      <c r="M114" s="62"/>
      <c r="N114" s="62"/>
      <c r="O114" s="62"/>
      <c r="P114" s="62"/>
      <c r="Q114" s="62">
        <f>SUM('Presupuesto detallado'!P120:U120)</f>
        <v>0</v>
      </c>
      <c r="R114" s="62">
        <v>0</v>
      </c>
      <c r="S114" s="62"/>
      <c r="T114" s="62"/>
      <c r="U114" s="62"/>
      <c r="V114" s="62"/>
      <c r="W114" s="62"/>
      <c r="X114" s="62">
        <f>+Q114+J114+C114</f>
        <v>2070013447.5</v>
      </c>
      <c r="Y114" s="62">
        <f t="shared" si="26"/>
        <v>414002689.5</v>
      </c>
      <c r="Z114" s="62"/>
      <c r="AA114" s="62">
        <f>+F114+M114+T114</f>
        <v>414002689.5</v>
      </c>
      <c r="AB114" s="62"/>
      <c r="AC114" s="62"/>
      <c r="AD114" s="62"/>
    </row>
    <row r="115" spans="2:30" ht="27.75" customHeight="1" x14ac:dyDescent="0.2">
      <c r="B115" s="12" t="s">
        <v>468</v>
      </c>
      <c r="C115" s="85">
        <f>SUM('Presupuesto detallado'!C121:E121)</f>
        <v>268634311</v>
      </c>
      <c r="D115" s="85">
        <f>+C115</f>
        <v>268634311</v>
      </c>
      <c r="E115" s="85"/>
      <c r="F115" s="85"/>
      <c r="G115" s="85"/>
      <c r="H115" s="85"/>
      <c r="I115" s="85"/>
      <c r="J115" s="62">
        <f>SUM('Presupuesto detallado'!F121:O121)</f>
        <v>268634311</v>
      </c>
      <c r="K115" s="62">
        <f>+J115</f>
        <v>268634311</v>
      </c>
      <c r="L115" s="62"/>
      <c r="M115" s="62"/>
      <c r="N115" s="62"/>
      <c r="O115" s="62"/>
      <c r="P115" s="62"/>
      <c r="Q115" s="62">
        <f>SUM('Presupuesto detallado'!P121:U121)</f>
        <v>134317155.5</v>
      </c>
      <c r="R115" s="62">
        <f>+Q115</f>
        <v>134317155.5</v>
      </c>
      <c r="S115" s="62"/>
      <c r="T115" s="62"/>
      <c r="U115" s="62"/>
      <c r="V115" s="62"/>
      <c r="W115" s="62"/>
      <c r="X115" s="62">
        <f>+Q115+J115+C115</f>
        <v>671585777.5</v>
      </c>
      <c r="Y115" s="62">
        <f t="shared" si="26"/>
        <v>671585777.5</v>
      </c>
      <c r="Z115" s="62"/>
      <c r="AA115" s="62">
        <f>+F115+M115+T115</f>
        <v>0</v>
      </c>
      <c r="AB115" s="62"/>
      <c r="AC115" s="62"/>
      <c r="AD115" s="62"/>
    </row>
    <row r="116" spans="2:30" ht="24" x14ac:dyDescent="0.2">
      <c r="B116" s="12" t="s">
        <v>469</v>
      </c>
      <c r="C116" s="85">
        <f>SUM('Presupuesto detallado'!C122:E122)</f>
        <v>1931176934</v>
      </c>
      <c r="D116" s="85">
        <v>0</v>
      </c>
      <c r="E116" s="85"/>
      <c r="F116" s="85"/>
      <c r="G116" s="85"/>
      <c r="H116" s="85"/>
      <c r="I116" s="85"/>
      <c r="J116" s="62">
        <f>SUM('Presupuesto detallado'!F122:O122)</f>
        <v>13475920310</v>
      </c>
      <c r="K116" s="62">
        <v>0</v>
      </c>
      <c r="L116" s="62"/>
      <c r="M116" s="62"/>
      <c r="N116" s="62"/>
      <c r="O116" s="62"/>
      <c r="P116" s="62"/>
      <c r="Q116" s="62">
        <f>SUM('Presupuesto detallado'!P122:U122)</f>
        <v>5751212574</v>
      </c>
      <c r="R116" s="62">
        <v>0</v>
      </c>
      <c r="S116" s="62"/>
      <c r="T116" s="62"/>
      <c r="U116" s="62"/>
      <c r="V116" s="62"/>
      <c r="W116" s="62"/>
      <c r="X116" s="62">
        <f>+Q116+J116+C116</f>
        <v>21158309818</v>
      </c>
      <c r="Y116" s="62">
        <f t="shared" si="26"/>
        <v>0</v>
      </c>
      <c r="Z116" s="62"/>
      <c r="AA116" s="62">
        <f>+F116+M116+T116</f>
        <v>0</v>
      </c>
      <c r="AB116" s="62"/>
      <c r="AC116" s="62"/>
      <c r="AD116" s="62"/>
    </row>
    <row r="117" spans="2:30" s="88" customFormat="1" ht="17.25" customHeight="1" x14ac:dyDescent="0.2">
      <c r="B117" s="9" t="s">
        <v>25</v>
      </c>
      <c r="C117" s="87">
        <f>SUM(C118:C122)</f>
        <v>441895772</v>
      </c>
      <c r="D117" s="87">
        <f>SUM(D118:D122)</f>
        <v>260964955.83999997</v>
      </c>
      <c r="E117" s="198">
        <f>+D117/C117</f>
        <v>0.59055771151392678</v>
      </c>
      <c r="F117" s="87">
        <f>SUM(F118:F122)</f>
        <v>180930816.16</v>
      </c>
      <c r="G117" s="198">
        <f>+F117/C117</f>
        <v>0.40944228848607311</v>
      </c>
      <c r="H117" s="87"/>
      <c r="I117" s="87"/>
      <c r="J117" s="87">
        <f>SUM(J118:J122)</f>
        <v>10278849906</v>
      </c>
      <c r="K117" s="87">
        <f>SUM(K118:K122)</f>
        <v>914831969.92000008</v>
      </c>
      <c r="L117" s="198">
        <f>+K117/J117</f>
        <v>8.9001393958091729E-2</v>
      </c>
      <c r="M117" s="87">
        <f>SUM(M118:M122)</f>
        <v>606362964.27999997</v>
      </c>
      <c r="N117" s="198">
        <f>+M117/J117</f>
        <v>5.8991323915144632E-2</v>
      </c>
      <c r="O117" s="87">
        <f>SUM(O118:O122)</f>
        <v>257654971.79999998</v>
      </c>
      <c r="P117" s="198">
        <f>+O117/J117</f>
        <v>2.5066517573099387E-2</v>
      </c>
      <c r="Q117" s="87">
        <f>SUM(Q118:Q122)</f>
        <v>5260000000</v>
      </c>
      <c r="R117" s="87">
        <f>SUM(R118:R122)</f>
        <v>5160000000</v>
      </c>
      <c r="S117" s="198">
        <f>+R117/Q117</f>
        <v>0.98098859315589348</v>
      </c>
      <c r="T117" s="87">
        <f>SUM(T118:T122)</f>
        <v>100000000</v>
      </c>
      <c r="U117" s="198">
        <f>+T117/Q117</f>
        <v>1.9011406844106463E-2</v>
      </c>
      <c r="V117" s="87"/>
      <c r="W117" s="87"/>
      <c r="X117" s="87">
        <f>SUM(X118:X122)</f>
        <v>15980745678</v>
      </c>
      <c r="Y117" s="87">
        <f>SUM(Y118:Y122)</f>
        <v>6335796925.7600002</v>
      </c>
      <c r="Z117" s="198">
        <f>+Y117/X117</f>
        <v>0.39646441119967368</v>
      </c>
      <c r="AA117" s="87">
        <f>SUM(AA118:AA122)</f>
        <v>887293780.44000006</v>
      </c>
      <c r="AB117" s="198">
        <f>+AA117/X117</f>
        <v>5.5522676996324329E-2</v>
      </c>
      <c r="AC117" s="87">
        <f>SUM(AC118:AC122)</f>
        <v>257654971.79999998</v>
      </c>
      <c r="AD117" s="198">
        <f>+AC117/X117</f>
        <v>1.6122837882008374E-2</v>
      </c>
    </row>
    <row r="118" spans="2:30" ht="27" customHeight="1" x14ac:dyDescent="0.2">
      <c r="B118" s="12" t="s">
        <v>475</v>
      </c>
      <c r="C118" s="85">
        <f>SUM('Presupuesto detallado'!C124:E124)</f>
        <v>181895772</v>
      </c>
      <c r="D118" s="85">
        <f>+C118*72%</f>
        <v>130964955.83999999</v>
      </c>
      <c r="E118" s="85"/>
      <c r="F118" s="85">
        <f>+C118*28%</f>
        <v>50930816.160000004</v>
      </c>
      <c r="G118" s="85"/>
      <c r="H118" s="85"/>
      <c r="I118" s="85"/>
      <c r="J118" s="62">
        <f>SUM('Presupuesto detallado'!F124:O124)</f>
        <v>120000000</v>
      </c>
      <c r="K118" s="62">
        <f>+J118*50%</f>
        <v>60000000</v>
      </c>
      <c r="L118" s="62"/>
      <c r="M118" s="62">
        <f>+J118*50%</f>
        <v>60000000</v>
      </c>
      <c r="N118" s="62"/>
      <c r="O118" s="62"/>
      <c r="P118" s="62"/>
      <c r="Q118" s="62">
        <f>SUM('Presupuesto detallado'!P124:U124)</f>
        <v>40000000</v>
      </c>
      <c r="R118" s="62"/>
      <c r="S118" s="62"/>
      <c r="T118" s="62">
        <f>+Q118</f>
        <v>40000000</v>
      </c>
      <c r="U118" s="62"/>
      <c r="V118" s="62"/>
      <c r="W118" s="62"/>
      <c r="X118" s="62">
        <f>+Q118+J118+C118</f>
        <v>341895772</v>
      </c>
      <c r="Y118" s="62">
        <f>+D118+K118+R118</f>
        <v>190964955.83999997</v>
      </c>
      <c r="Z118" s="62"/>
      <c r="AA118" s="62">
        <f>+F118+M118+T118</f>
        <v>150930816.16</v>
      </c>
      <c r="AB118" s="62"/>
      <c r="AC118" s="62">
        <f>+H118+O118+V118</f>
        <v>0</v>
      </c>
      <c r="AD118" s="62"/>
    </row>
    <row r="119" spans="2:30" ht="27.75" customHeight="1" x14ac:dyDescent="0.2">
      <c r="B119" s="12" t="s">
        <v>476</v>
      </c>
      <c r="C119" s="85">
        <f>SUM('Presupuesto detallado'!C125:E125)</f>
        <v>260000000</v>
      </c>
      <c r="D119" s="85">
        <f>+C119*50%</f>
        <v>130000000</v>
      </c>
      <c r="E119" s="85"/>
      <c r="F119" s="85">
        <f>+C119*50%</f>
        <v>130000000</v>
      </c>
      <c r="G119" s="85"/>
      <c r="H119" s="85"/>
      <c r="I119" s="85"/>
      <c r="J119" s="62">
        <f>SUM('Presupuesto detallado'!F125:O125)</f>
        <v>440000000</v>
      </c>
      <c r="K119" s="62">
        <f>+J119*50%</f>
        <v>220000000</v>
      </c>
      <c r="L119" s="62"/>
      <c r="M119" s="62">
        <f>+J119*50%</f>
        <v>220000000</v>
      </c>
      <c r="N119" s="62"/>
      <c r="O119" s="62"/>
      <c r="P119" s="62"/>
      <c r="Q119" s="62">
        <f>SUM('Presupuesto detallado'!P125:U125)</f>
        <v>120000000</v>
      </c>
      <c r="R119" s="62">
        <f>+Q119*50%</f>
        <v>60000000</v>
      </c>
      <c r="S119" s="62"/>
      <c r="T119" s="62">
        <f>+Q119*50%</f>
        <v>60000000</v>
      </c>
      <c r="U119" s="62"/>
      <c r="V119" s="62"/>
      <c r="W119" s="62"/>
      <c r="X119" s="62">
        <f>+Q119+J119+C119</f>
        <v>820000000</v>
      </c>
      <c r="Y119" s="62">
        <f t="shared" si="26"/>
        <v>410000000</v>
      </c>
      <c r="Z119" s="62"/>
      <c r="AA119" s="62">
        <f>+F119+M119+T119</f>
        <v>410000000</v>
      </c>
      <c r="AB119" s="62"/>
      <c r="AC119" s="62">
        <f>+H119+O119+V119</f>
        <v>0</v>
      </c>
      <c r="AD119" s="62"/>
    </row>
    <row r="120" spans="2:30" ht="27" customHeight="1" x14ac:dyDescent="0.2">
      <c r="B120" s="12" t="s">
        <v>477</v>
      </c>
      <c r="C120" s="85">
        <f>SUM('Presupuesto detallado'!C126:E126)</f>
        <v>0</v>
      </c>
      <c r="D120" s="85">
        <v>0</v>
      </c>
      <c r="E120" s="85"/>
      <c r="F120" s="85"/>
      <c r="G120" s="85"/>
      <c r="H120" s="85"/>
      <c r="I120" s="85"/>
      <c r="J120" s="62">
        <f>SUM('Presupuesto detallado'!F126:O126)</f>
        <v>360000000</v>
      </c>
      <c r="K120" s="62">
        <f>+J120</f>
        <v>360000000</v>
      </c>
      <c r="L120" s="62"/>
      <c r="M120" s="62">
        <v>0</v>
      </c>
      <c r="N120" s="62"/>
      <c r="O120" s="62"/>
      <c r="P120" s="62"/>
      <c r="Q120" s="62">
        <f>SUM('Presupuesto detallado'!P126:U126)</f>
        <v>0</v>
      </c>
      <c r="R120" s="62"/>
      <c r="S120" s="62"/>
      <c r="T120" s="62"/>
      <c r="U120" s="62"/>
      <c r="V120" s="62"/>
      <c r="W120" s="62"/>
      <c r="X120" s="62">
        <f>+Q120+J120+C120</f>
        <v>360000000</v>
      </c>
      <c r="Y120" s="62">
        <f t="shared" si="26"/>
        <v>360000000</v>
      </c>
      <c r="Z120" s="62"/>
      <c r="AA120" s="62">
        <f>+F120+M120+T120</f>
        <v>0</v>
      </c>
      <c r="AB120" s="62"/>
      <c r="AC120" s="62">
        <f>+H120+O120+V120</f>
        <v>0</v>
      </c>
      <c r="AD120" s="62"/>
    </row>
    <row r="121" spans="2:30" ht="26.25" customHeight="1" x14ac:dyDescent="0.2">
      <c r="B121" s="12" t="s">
        <v>478</v>
      </c>
      <c r="C121" s="85">
        <f>SUM('Presupuesto detallado'!C127:E127)</f>
        <v>0</v>
      </c>
      <c r="D121" s="85">
        <v>0</v>
      </c>
      <c r="E121" s="85"/>
      <c r="F121" s="85"/>
      <c r="G121" s="85"/>
      <c r="H121" s="85"/>
      <c r="I121" s="85"/>
      <c r="J121" s="62">
        <f>SUM('Presupuesto detallado'!F127:O127)</f>
        <v>858849906</v>
      </c>
      <c r="K121" s="62">
        <f>+J121*32%</f>
        <v>274831969.92000002</v>
      </c>
      <c r="L121" s="62"/>
      <c r="M121" s="62">
        <f>+J121*38%</f>
        <v>326362964.28000003</v>
      </c>
      <c r="N121" s="62"/>
      <c r="O121" s="62">
        <f>+J121*30%</f>
        <v>257654971.79999998</v>
      </c>
      <c r="P121" s="62"/>
      <c r="Q121" s="62">
        <f>SUM('Presupuesto detallado'!P127:U127)</f>
        <v>0</v>
      </c>
      <c r="R121" s="62"/>
      <c r="S121" s="62"/>
      <c r="T121" s="62"/>
      <c r="U121" s="62"/>
      <c r="V121" s="62"/>
      <c r="W121" s="62"/>
      <c r="X121" s="62">
        <f>+Q121+J121+C121</f>
        <v>858849906</v>
      </c>
      <c r="Y121" s="62">
        <f t="shared" si="26"/>
        <v>274831969.92000002</v>
      </c>
      <c r="Z121" s="62"/>
      <c r="AA121" s="62">
        <f>+F121+M121+T121</f>
        <v>326362964.28000003</v>
      </c>
      <c r="AB121" s="62"/>
      <c r="AC121" s="62">
        <f>+H121+O121+V121</f>
        <v>257654971.79999998</v>
      </c>
      <c r="AD121" s="62"/>
    </row>
    <row r="122" spans="2:30" ht="51.75" customHeight="1" x14ac:dyDescent="0.2">
      <c r="B122" s="12" t="s">
        <v>479</v>
      </c>
      <c r="C122" s="85">
        <f>SUM('Presupuesto detallado'!C128:E128)</f>
        <v>0</v>
      </c>
      <c r="D122" s="85">
        <v>0</v>
      </c>
      <c r="E122" s="85"/>
      <c r="F122" s="85"/>
      <c r="G122" s="85"/>
      <c r="H122" s="85"/>
      <c r="I122" s="85"/>
      <c r="J122" s="62">
        <f>SUM('Presupuesto detallado'!F128:O128)</f>
        <v>8500000000</v>
      </c>
      <c r="K122" s="62">
        <v>0</v>
      </c>
      <c r="L122" s="62"/>
      <c r="M122" s="62">
        <v>0</v>
      </c>
      <c r="N122" s="62"/>
      <c r="O122" s="62"/>
      <c r="P122" s="62"/>
      <c r="Q122" s="62">
        <f>SUM('Presupuesto detallado'!P128:U128)</f>
        <v>5100000000</v>
      </c>
      <c r="R122" s="62">
        <f>+Q122</f>
        <v>5100000000</v>
      </c>
      <c r="S122" s="62"/>
      <c r="T122" s="62"/>
      <c r="U122" s="62"/>
      <c r="V122" s="62"/>
      <c r="W122" s="62"/>
      <c r="X122" s="62">
        <f>+Q122+J122+C122</f>
        <v>13600000000</v>
      </c>
      <c r="Y122" s="62">
        <f t="shared" si="26"/>
        <v>5100000000</v>
      </c>
      <c r="Z122" s="62"/>
      <c r="AA122" s="62">
        <f>+F122+M122+T122</f>
        <v>0</v>
      </c>
      <c r="AB122" s="62"/>
      <c r="AC122" s="62">
        <f>+H122+O122+V122</f>
        <v>0</v>
      </c>
      <c r="AD122" s="62"/>
    </row>
    <row r="123" spans="2:30" s="88" customFormat="1" ht="14.25" customHeight="1" x14ac:dyDescent="0.2">
      <c r="B123" s="8" t="s">
        <v>26</v>
      </c>
      <c r="C123" s="87">
        <f>+C124+C132</f>
        <v>1202547523.5</v>
      </c>
      <c r="D123" s="87"/>
      <c r="E123" s="87"/>
      <c r="F123" s="87"/>
      <c r="G123" s="87"/>
      <c r="H123" s="87"/>
      <c r="I123" s="87"/>
      <c r="J123" s="87">
        <f>+J124+J132</f>
        <v>9580595781.875</v>
      </c>
      <c r="K123" s="87"/>
      <c r="L123" s="87"/>
      <c r="M123" s="87"/>
      <c r="N123" s="87"/>
      <c r="O123" s="87"/>
      <c r="P123" s="87"/>
      <c r="Q123" s="87">
        <f>+Q124+Q132</f>
        <v>0</v>
      </c>
      <c r="R123" s="87"/>
      <c r="S123" s="87"/>
      <c r="T123" s="87"/>
      <c r="U123" s="87"/>
      <c r="V123" s="87"/>
      <c r="W123" s="87"/>
      <c r="X123" s="87">
        <f>+X124+X132</f>
        <v>15167727427.125</v>
      </c>
      <c r="Y123" s="87">
        <f>+Y124+Y132</f>
        <v>5642157576.3000011</v>
      </c>
      <c r="Z123" s="87"/>
      <c r="AA123" s="87">
        <f>+AA124+AA132</f>
        <v>1253327087.875</v>
      </c>
      <c r="AB123" s="87"/>
      <c r="AC123" s="87">
        <f>+AC124+AC132</f>
        <v>285965879.20000005</v>
      </c>
      <c r="AD123" s="87"/>
    </row>
    <row r="124" spans="2:30" s="88" customFormat="1" ht="17.25" customHeight="1" x14ac:dyDescent="0.2">
      <c r="B124" s="9" t="s">
        <v>27</v>
      </c>
      <c r="C124" s="87">
        <f>SUM(C125:C131)</f>
        <v>1101114895.5</v>
      </c>
      <c r="D124" s="87">
        <f>SUM(D125:D131)</f>
        <v>1063854937.2</v>
      </c>
      <c r="E124" s="198">
        <f>+D124/C124</f>
        <v>0.96616160724709776</v>
      </c>
      <c r="F124" s="87">
        <f>SUM(F125:F131)</f>
        <v>37259958.300000004</v>
      </c>
      <c r="G124" s="198">
        <f>+F124/C124</f>
        <v>3.3838392752902326E-2</v>
      </c>
      <c r="H124" s="87"/>
      <c r="I124" s="87"/>
      <c r="J124" s="87">
        <f>SUM(J125:J131)</f>
        <v>6023946819.875</v>
      </c>
      <c r="K124" s="87">
        <f>SUM(K125:K131)</f>
        <v>1871364557.0999999</v>
      </c>
      <c r="L124" s="198">
        <f>+K124/J124</f>
        <v>0.31065422937097437</v>
      </c>
      <c r="M124" s="87">
        <f>SUM(M125:M131)</f>
        <v>497975161.97500002</v>
      </c>
      <c r="N124" s="198">
        <f>+M124/J124</f>
        <v>8.2665929309338304E-2</v>
      </c>
      <c r="O124" s="87">
        <f>SUM(O125:O131)</f>
        <v>120536090.80000001</v>
      </c>
      <c r="P124" s="198">
        <f>+O124/J124</f>
        <v>2.0009487866378808E-2</v>
      </c>
      <c r="Q124" s="87"/>
      <c r="R124" s="87"/>
      <c r="S124" s="87"/>
      <c r="T124" s="87"/>
      <c r="U124" s="87"/>
      <c r="V124" s="87"/>
      <c r="W124" s="87"/>
      <c r="X124" s="87">
        <f>SUM(X125:X131)</f>
        <v>10406780581.125</v>
      </c>
      <c r="Y124" s="87">
        <f>SUM(Y125:Y131)</f>
        <v>2935219494.3000002</v>
      </c>
      <c r="Z124" s="198">
        <f>+Y124/X124</f>
        <v>0.28204875383110034</v>
      </c>
      <c r="AA124" s="87">
        <f>SUM(AA125:AA131)</f>
        <v>535235120.27499998</v>
      </c>
      <c r="AB124" s="198">
        <f>+AA124/X124</f>
        <v>5.1431383231598765E-2</v>
      </c>
      <c r="AC124" s="87">
        <f>SUM(AC125:AC131)</f>
        <v>120536090.80000001</v>
      </c>
      <c r="AD124" s="198">
        <f>+AC124/X124</f>
        <v>1.1582457212427337E-2</v>
      </c>
    </row>
    <row r="125" spans="2:30" ht="24" x14ac:dyDescent="0.2">
      <c r="B125" s="12" t="s">
        <v>487</v>
      </c>
      <c r="C125" s="85">
        <f>SUM('Presupuesto detallado'!C131:E131)</f>
        <v>208000902</v>
      </c>
      <c r="D125" s="85">
        <f>C125*100%</f>
        <v>208000902</v>
      </c>
      <c r="E125" s="85"/>
      <c r="F125" s="85"/>
      <c r="G125" s="85"/>
      <c r="H125" s="85"/>
      <c r="I125" s="85"/>
      <c r="J125" s="62">
        <f>SUM('Presupuesto detallado'!F131:O131)</f>
        <v>0</v>
      </c>
      <c r="K125" s="62"/>
      <c r="L125" s="62"/>
      <c r="M125" s="62"/>
      <c r="N125" s="62"/>
      <c r="O125" s="62"/>
      <c r="P125" s="62"/>
      <c r="Q125" s="62">
        <f>SUM('Presupuesto detallado'!P131:U131)</f>
        <v>0</v>
      </c>
      <c r="R125" s="62"/>
      <c r="S125" s="62"/>
      <c r="T125" s="62"/>
      <c r="U125" s="62"/>
      <c r="V125" s="62"/>
      <c r="W125" s="62"/>
      <c r="X125" s="62">
        <f t="shared" ref="X125:X131" si="27">+Q125+J125+C125</f>
        <v>208000902</v>
      </c>
      <c r="Y125" s="62">
        <f t="shared" ref="Y125:Y135" si="28">+D125+K125+R125</f>
        <v>208000902</v>
      </c>
      <c r="Z125" s="62"/>
      <c r="AA125" s="62">
        <f t="shared" ref="AA125:AA135" si="29">+F125+M125+T125</f>
        <v>0</v>
      </c>
      <c r="AB125" s="62"/>
      <c r="AC125" s="62">
        <f t="shared" ref="AC125:AC135" si="30">+H125+O125+V125</f>
        <v>0</v>
      </c>
      <c r="AD125" s="62"/>
    </row>
    <row r="126" spans="2:30" ht="24" x14ac:dyDescent="0.2">
      <c r="B126" s="12" t="s">
        <v>488</v>
      </c>
      <c r="C126" s="85">
        <f>SUM('Presupuesto detallado'!C132:E132)</f>
        <v>706814202</v>
      </c>
      <c r="D126" s="85">
        <f>C126*100%</f>
        <v>706814202</v>
      </c>
      <c r="E126" s="85"/>
      <c r="F126" s="85"/>
      <c r="G126" s="85"/>
      <c r="H126" s="85"/>
      <c r="I126" s="85"/>
      <c r="J126" s="62">
        <f>SUM('Presupuesto detallado'!F132:O132)</f>
        <v>3534071010</v>
      </c>
      <c r="K126" s="62"/>
      <c r="L126" s="62"/>
      <c r="M126" s="62"/>
      <c r="N126" s="62"/>
      <c r="O126" s="62"/>
      <c r="P126" s="62"/>
      <c r="Q126" s="62">
        <f>SUM('Presupuesto detallado'!P132:U132)</f>
        <v>2120442606</v>
      </c>
      <c r="R126" s="62"/>
      <c r="S126" s="62"/>
      <c r="T126" s="62"/>
      <c r="U126" s="62"/>
      <c r="V126" s="62"/>
      <c r="W126" s="62"/>
      <c r="X126" s="62">
        <f t="shared" si="27"/>
        <v>6361327818</v>
      </c>
      <c r="Y126" s="62">
        <f t="shared" si="28"/>
        <v>706814202</v>
      </c>
      <c r="Z126" s="62"/>
      <c r="AA126" s="62">
        <f t="shared" si="29"/>
        <v>0</v>
      </c>
      <c r="AB126" s="62"/>
      <c r="AC126" s="62">
        <f t="shared" si="30"/>
        <v>0</v>
      </c>
      <c r="AD126" s="62"/>
    </row>
    <row r="127" spans="2:30" ht="36" x14ac:dyDescent="0.2">
      <c r="B127" s="12" t="s">
        <v>489</v>
      </c>
      <c r="C127" s="85">
        <f>SUM('Presupuesto detallado'!C133:E133)</f>
        <v>186299791.5</v>
      </c>
      <c r="D127" s="85">
        <f>C127*80%</f>
        <v>149039833.20000002</v>
      </c>
      <c r="E127" s="85"/>
      <c r="F127" s="85">
        <f>C127*20%</f>
        <v>37259958.300000004</v>
      </c>
      <c r="G127" s="85"/>
      <c r="H127" s="85"/>
      <c r="I127" s="85"/>
      <c r="J127" s="62">
        <f>SUM('Presupuesto detallado'!F133:O133)</f>
        <v>372599583</v>
      </c>
      <c r="K127" s="62">
        <f>J127*70%</f>
        <v>260819708.09999999</v>
      </c>
      <c r="L127" s="62"/>
      <c r="M127" s="62">
        <f>J127*20%</f>
        <v>74519916.600000009</v>
      </c>
      <c r="N127" s="62"/>
      <c r="O127" s="62">
        <f>J127*10%</f>
        <v>37259958.300000004</v>
      </c>
      <c r="P127" s="62"/>
      <c r="Q127" s="62">
        <f>SUM('Presupuesto detallado'!P133:U133)</f>
        <v>0</v>
      </c>
      <c r="R127" s="62"/>
      <c r="S127" s="62"/>
      <c r="T127" s="62"/>
      <c r="U127" s="62"/>
      <c r="V127" s="62"/>
      <c r="W127" s="62"/>
      <c r="X127" s="62">
        <f t="shared" si="27"/>
        <v>558899374.5</v>
      </c>
      <c r="Y127" s="62">
        <f t="shared" si="28"/>
        <v>409859541.30000001</v>
      </c>
      <c r="Z127" s="62"/>
      <c r="AA127" s="62">
        <f t="shared" si="29"/>
        <v>111779874.90000001</v>
      </c>
      <c r="AB127" s="62"/>
      <c r="AC127" s="62">
        <f t="shared" si="30"/>
        <v>37259958.300000004</v>
      </c>
      <c r="AD127" s="62"/>
    </row>
    <row r="128" spans="2:30" ht="24" x14ac:dyDescent="0.2">
      <c r="B128" s="12" t="s">
        <v>490</v>
      </c>
      <c r="C128" s="85">
        <f>SUM('Presupuesto detallado'!C134:E134)</f>
        <v>0</v>
      </c>
      <c r="D128" s="85"/>
      <c r="E128" s="85"/>
      <c r="F128" s="85"/>
      <c r="G128" s="85"/>
      <c r="H128" s="85"/>
      <c r="I128" s="85"/>
      <c r="J128" s="62">
        <f>SUM('Presupuesto detallado'!F134:O134)</f>
        <v>129066719.375</v>
      </c>
      <c r="K128" s="62">
        <f>J128*80%</f>
        <v>103253375.5</v>
      </c>
      <c r="L128" s="62"/>
      <c r="M128" s="62">
        <f>J128*20%</f>
        <v>25813343.875</v>
      </c>
      <c r="N128" s="62"/>
      <c r="O128" s="62"/>
      <c r="P128" s="62"/>
      <c r="Q128" s="62">
        <f>SUM('Presupuesto detallado'!P134:U134)</f>
        <v>51626687.75</v>
      </c>
      <c r="R128" s="62"/>
      <c r="S128" s="62"/>
      <c r="T128" s="62"/>
      <c r="U128" s="62"/>
      <c r="V128" s="62"/>
      <c r="W128" s="62"/>
      <c r="X128" s="62">
        <f t="shared" si="27"/>
        <v>180693407.125</v>
      </c>
      <c r="Y128" s="62">
        <f t="shared" si="28"/>
        <v>103253375.5</v>
      </c>
      <c r="Z128" s="62"/>
      <c r="AA128" s="62">
        <f t="shared" si="29"/>
        <v>25813343.875</v>
      </c>
      <c r="AB128" s="62"/>
      <c r="AC128" s="62">
        <f t="shared" si="30"/>
        <v>0</v>
      </c>
      <c r="AD128" s="62"/>
    </row>
    <row r="129" spans="2:30" ht="24" x14ac:dyDescent="0.2">
      <c r="B129" s="12" t="s">
        <v>491</v>
      </c>
      <c r="C129" s="85">
        <f>SUM('Presupuesto detallado'!C135:E135)</f>
        <v>0</v>
      </c>
      <c r="D129" s="85"/>
      <c r="E129" s="85"/>
      <c r="F129" s="85"/>
      <c r="G129" s="85"/>
      <c r="H129" s="85"/>
      <c r="I129" s="85"/>
      <c r="J129" s="62">
        <f>SUM('Presupuesto detallado'!F135:O135)</f>
        <v>416380662.5</v>
      </c>
      <c r="K129" s="62">
        <f>J129*80%</f>
        <v>333104530</v>
      </c>
      <c r="L129" s="62"/>
      <c r="M129" s="62">
        <f>J129*20%</f>
        <v>83276132.5</v>
      </c>
      <c r="N129" s="62"/>
      <c r="O129" s="62"/>
      <c r="P129" s="62"/>
      <c r="Q129" s="62">
        <f>SUM('Presupuesto detallado'!P135:U135)</f>
        <v>166552265</v>
      </c>
      <c r="R129" s="62"/>
      <c r="S129" s="62"/>
      <c r="T129" s="62"/>
      <c r="U129" s="62"/>
      <c r="V129" s="62"/>
      <c r="W129" s="62"/>
      <c r="X129" s="62">
        <f t="shared" si="27"/>
        <v>582932927.5</v>
      </c>
      <c r="Y129" s="62">
        <f t="shared" si="28"/>
        <v>333104530</v>
      </c>
      <c r="Z129" s="62"/>
      <c r="AA129" s="62">
        <f t="shared" si="29"/>
        <v>83276132.5</v>
      </c>
      <c r="AB129" s="62"/>
      <c r="AC129" s="62">
        <f t="shared" si="30"/>
        <v>0</v>
      </c>
      <c r="AD129" s="62"/>
    </row>
    <row r="130" spans="2:30" ht="24" x14ac:dyDescent="0.2">
      <c r="B130" s="12" t="s">
        <v>492</v>
      </c>
      <c r="C130" s="85">
        <f>SUM('Presupuesto detallado'!C136:E136)</f>
        <v>0</v>
      </c>
      <c r="D130" s="85"/>
      <c r="E130" s="85"/>
      <c r="F130" s="85"/>
      <c r="G130" s="85"/>
      <c r="H130" s="85"/>
      <c r="I130" s="85"/>
      <c r="J130" s="62">
        <f>SUM('Presupuesto detallado'!F136:O136)</f>
        <v>832761325</v>
      </c>
      <c r="K130" s="62">
        <f>J130*70%</f>
        <v>582932927.5</v>
      </c>
      <c r="L130" s="62"/>
      <c r="M130" s="62">
        <f>J130*20%</f>
        <v>166552265</v>
      </c>
      <c r="N130" s="62"/>
      <c r="O130" s="62">
        <f>J130*10%</f>
        <v>83276132.5</v>
      </c>
      <c r="P130" s="62"/>
      <c r="Q130" s="62">
        <f>SUM('Presupuesto detallado'!P136:U136)</f>
        <v>499656795</v>
      </c>
      <c r="R130" s="62"/>
      <c r="S130" s="62"/>
      <c r="T130" s="62"/>
      <c r="U130" s="62"/>
      <c r="V130" s="62"/>
      <c r="W130" s="62"/>
      <c r="X130" s="62">
        <f t="shared" si="27"/>
        <v>1332418120</v>
      </c>
      <c r="Y130" s="62">
        <f t="shared" si="28"/>
        <v>582932927.5</v>
      </c>
      <c r="Z130" s="62"/>
      <c r="AA130" s="62">
        <f t="shared" si="29"/>
        <v>166552265</v>
      </c>
      <c r="AB130" s="62"/>
      <c r="AC130" s="62">
        <f t="shared" si="30"/>
        <v>83276132.5</v>
      </c>
      <c r="AD130" s="62"/>
    </row>
    <row r="131" spans="2:30" ht="24" x14ac:dyDescent="0.2">
      <c r="B131" s="12" t="s">
        <v>493</v>
      </c>
      <c r="C131" s="85">
        <f>SUM('Presupuesto detallado'!C137:E137)</f>
        <v>0</v>
      </c>
      <c r="D131" s="85"/>
      <c r="E131" s="85"/>
      <c r="F131" s="85"/>
      <c r="G131" s="85"/>
      <c r="H131" s="85"/>
      <c r="I131" s="85"/>
      <c r="J131" s="62">
        <f>SUM('Presupuesto detallado'!F137:O137)</f>
        <v>739067520</v>
      </c>
      <c r="K131" s="62">
        <f>J131*80%</f>
        <v>591254016</v>
      </c>
      <c r="L131" s="62"/>
      <c r="M131" s="62">
        <f>J131*20%</f>
        <v>147813504</v>
      </c>
      <c r="N131" s="62"/>
      <c r="O131" s="62"/>
      <c r="P131" s="62"/>
      <c r="Q131" s="62">
        <f>SUM('Presupuesto detallado'!P137:U137)</f>
        <v>443440512</v>
      </c>
      <c r="R131" s="62"/>
      <c r="S131" s="62"/>
      <c r="T131" s="62"/>
      <c r="U131" s="62"/>
      <c r="V131" s="62"/>
      <c r="W131" s="62"/>
      <c r="X131" s="62">
        <f t="shared" si="27"/>
        <v>1182508032</v>
      </c>
      <c r="Y131" s="62">
        <f t="shared" si="28"/>
        <v>591254016</v>
      </c>
      <c r="Z131" s="62"/>
      <c r="AA131" s="62">
        <f t="shared" si="29"/>
        <v>147813504</v>
      </c>
      <c r="AB131" s="62"/>
      <c r="AC131" s="62">
        <f t="shared" si="30"/>
        <v>0</v>
      </c>
      <c r="AD131" s="62"/>
    </row>
    <row r="132" spans="2:30" s="88" customFormat="1" ht="17.25" customHeight="1" x14ac:dyDescent="0.2">
      <c r="B132" s="9" t="s">
        <v>28</v>
      </c>
      <c r="C132" s="87">
        <f>SUM(C133:C135)</f>
        <v>101432628</v>
      </c>
      <c r="D132" s="87">
        <f>SUM(D133:D135)</f>
        <v>81146102.400000006</v>
      </c>
      <c r="E132" s="198">
        <f>+D132/C132</f>
        <v>0.8</v>
      </c>
      <c r="F132" s="87">
        <f>SUM(F133:F135)</f>
        <v>20286525.600000001</v>
      </c>
      <c r="G132" s="198">
        <f>+F132/C132</f>
        <v>0.2</v>
      </c>
      <c r="H132" s="87"/>
      <c r="I132" s="87"/>
      <c r="J132" s="87">
        <f>SUM(J133:J135)</f>
        <v>3556648962</v>
      </c>
      <c r="K132" s="87">
        <f>SUM(K133:K135)</f>
        <v>2625791979.6000004</v>
      </c>
      <c r="L132" s="198">
        <f>+K132/J132</f>
        <v>0.73827695891681322</v>
      </c>
      <c r="M132" s="87">
        <f>SUM(M133:M135)</f>
        <v>697805442</v>
      </c>
      <c r="N132" s="198">
        <f>+M132/J132</f>
        <v>0.19619744581360235</v>
      </c>
      <c r="O132" s="87">
        <f>SUM(O133:O135)</f>
        <v>165429788.40000001</v>
      </c>
      <c r="P132" s="198">
        <f>+O132/J132</f>
        <v>4.6512824337596244E-2</v>
      </c>
      <c r="Q132" s="87"/>
      <c r="R132" s="87"/>
      <c r="S132" s="87"/>
      <c r="T132" s="87"/>
      <c r="U132" s="87"/>
      <c r="V132" s="87"/>
      <c r="W132" s="87"/>
      <c r="X132" s="87">
        <f>SUM(X133:X135)</f>
        <v>4760946846</v>
      </c>
      <c r="Y132" s="87">
        <f>SUM(Y133:Y135)</f>
        <v>2706938082.0000005</v>
      </c>
      <c r="Z132" s="198">
        <f>+Y132/X132</f>
        <v>0.56857137236772259</v>
      </c>
      <c r="AA132" s="87">
        <f>SUM(AA133:AA135)</f>
        <v>718091967.60000002</v>
      </c>
      <c r="AB132" s="198">
        <f>+AA132/X132</f>
        <v>0.15082965444222898</v>
      </c>
      <c r="AC132" s="87">
        <f>SUM(AC133:AC135)</f>
        <v>165429788.40000001</v>
      </c>
      <c r="AD132" s="198">
        <f>+AC132/X132</f>
        <v>3.4747245401193456E-2</v>
      </c>
    </row>
    <row r="133" spans="2:30" ht="30" customHeight="1" x14ac:dyDescent="0.2">
      <c r="B133" s="12" t="s">
        <v>498</v>
      </c>
      <c r="C133" s="85">
        <f>SUM('Presupuesto detallado'!C139:E139)</f>
        <v>0</v>
      </c>
      <c r="D133" s="85"/>
      <c r="E133" s="85"/>
      <c r="F133" s="85"/>
      <c r="G133" s="85"/>
      <c r="H133" s="85"/>
      <c r="I133" s="85"/>
      <c r="J133" s="62">
        <f>SUM('Presupuesto detallado'!F139:O139)</f>
        <v>1834729326</v>
      </c>
      <c r="K133" s="62">
        <f>J133*80%</f>
        <v>1467783460.8000002</v>
      </c>
      <c r="L133" s="62"/>
      <c r="M133" s="62">
        <f>J133*20%</f>
        <v>366945865.20000005</v>
      </c>
      <c r="N133" s="62"/>
      <c r="O133" s="62"/>
      <c r="P133" s="62"/>
      <c r="Q133" s="62">
        <f>SUM('Presupuesto detallado'!P139:U139)</f>
        <v>0</v>
      </c>
      <c r="R133" s="62"/>
      <c r="S133" s="62"/>
      <c r="T133" s="62"/>
      <c r="U133" s="62"/>
      <c r="V133" s="62"/>
      <c r="W133" s="62"/>
      <c r="X133" s="62">
        <f>+Q133+J133+C133</f>
        <v>1834729326</v>
      </c>
      <c r="Y133" s="62">
        <f t="shared" si="28"/>
        <v>1467783460.8000002</v>
      </c>
      <c r="Z133" s="62"/>
      <c r="AA133" s="62">
        <f t="shared" si="29"/>
        <v>366945865.20000005</v>
      </c>
      <c r="AB133" s="62"/>
      <c r="AC133" s="62">
        <f t="shared" si="30"/>
        <v>0</v>
      </c>
      <c r="AD133" s="62"/>
    </row>
    <row r="134" spans="2:30" ht="27.75" customHeight="1" x14ac:dyDescent="0.2">
      <c r="B134" s="12" t="s">
        <v>499</v>
      </c>
      <c r="C134" s="85">
        <f>SUM('Presupuesto detallado'!C140:E140)</f>
        <v>0</v>
      </c>
      <c r="D134" s="85"/>
      <c r="E134" s="85"/>
      <c r="F134" s="85"/>
      <c r="G134" s="85"/>
      <c r="H134" s="85"/>
      <c r="I134" s="85"/>
      <c r="J134" s="62">
        <f>SUM('Presupuesto detallado'!F140:O140)</f>
        <v>1654297884</v>
      </c>
      <c r="K134" s="62">
        <f>J134*70%</f>
        <v>1158008518.8</v>
      </c>
      <c r="L134" s="62"/>
      <c r="M134" s="62">
        <f>J134*20%</f>
        <v>330859576.80000001</v>
      </c>
      <c r="N134" s="62"/>
      <c r="O134" s="62">
        <f>J134*10%</f>
        <v>165429788.40000001</v>
      </c>
      <c r="P134" s="62"/>
      <c r="Q134" s="62">
        <f>SUM('Presupuesto detallado'!P140:U140)</f>
        <v>1102865256</v>
      </c>
      <c r="R134" s="62"/>
      <c r="S134" s="62"/>
      <c r="T134" s="62"/>
      <c r="U134" s="62"/>
      <c r="V134" s="62"/>
      <c r="W134" s="62"/>
      <c r="X134" s="62">
        <f>+Q134+J134+C134</f>
        <v>2757163140</v>
      </c>
      <c r="Y134" s="62">
        <f t="shared" si="28"/>
        <v>1158008518.8</v>
      </c>
      <c r="Z134" s="62"/>
      <c r="AA134" s="62">
        <f t="shared" si="29"/>
        <v>330859576.80000001</v>
      </c>
      <c r="AB134" s="62"/>
      <c r="AC134" s="62">
        <f t="shared" si="30"/>
        <v>165429788.40000001</v>
      </c>
      <c r="AD134" s="62"/>
    </row>
    <row r="135" spans="2:30" ht="13.5" customHeight="1" x14ac:dyDescent="0.2">
      <c r="B135" s="12" t="s">
        <v>500</v>
      </c>
      <c r="C135" s="85">
        <f>SUM('Presupuesto detallado'!C141:E141)</f>
        <v>101432628</v>
      </c>
      <c r="D135" s="85">
        <f>C135*80%</f>
        <v>81146102.400000006</v>
      </c>
      <c r="E135" s="85"/>
      <c r="F135" s="85">
        <f>C135*20%</f>
        <v>20286525.600000001</v>
      </c>
      <c r="G135" s="85"/>
      <c r="H135" s="85"/>
      <c r="I135" s="85"/>
      <c r="J135" s="62">
        <f>SUM('Presupuesto detallado'!F141:O141)</f>
        <v>67621752</v>
      </c>
      <c r="K135" s="62"/>
      <c r="L135" s="62"/>
      <c r="M135" s="62"/>
      <c r="N135" s="62"/>
      <c r="O135" s="62"/>
      <c r="P135" s="62"/>
      <c r="Q135" s="62">
        <f>SUM('Presupuesto detallado'!P141:U141)</f>
        <v>0</v>
      </c>
      <c r="R135" s="62"/>
      <c r="S135" s="62"/>
      <c r="T135" s="62"/>
      <c r="U135" s="62"/>
      <c r="V135" s="62"/>
      <c r="W135" s="62"/>
      <c r="X135" s="62">
        <f>+Q135+J135+C135</f>
        <v>169054380</v>
      </c>
      <c r="Y135" s="62">
        <f t="shared" si="28"/>
        <v>81146102.400000006</v>
      </c>
      <c r="Z135" s="62"/>
      <c r="AA135" s="62">
        <f t="shared" si="29"/>
        <v>20286525.600000001</v>
      </c>
      <c r="AB135" s="62"/>
      <c r="AC135" s="62">
        <f t="shared" si="30"/>
        <v>0</v>
      </c>
      <c r="AD135" s="62"/>
    </row>
    <row r="136" spans="2:30" s="88" customFormat="1" ht="15.75" customHeight="1" x14ac:dyDescent="0.2">
      <c r="B136" s="8" t="s">
        <v>29</v>
      </c>
      <c r="C136" s="87">
        <f>+C137+C141+C146+C149</f>
        <v>89782914</v>
      </c>
      <c r="D136" s="87"/>
      <c r="E136" s="87"/>
      <c r="F136" s="87"/>
      <c r="G136" s="87"/>
      <c r="H136" s="87"/>
      <c r="I136" s="87"/>
      <c r="J136" s="87">
        <f>+J137+J141+J146+J149</f>
        <v>5484680401.5</v>
      </c>
      <c r="K136" s="87"/>
      <c r="L136" s="87"/>
      <c r="M136" s="87"/>
      <c r="N136" s="87"/>
      <c r="O136" s="87"/>
      <c r="P136" s="87"/>
      <c r="Q136" s="87">
        <f>+Q137+Q141+Q146+Q149</f>
        <v>369716652</v>
      </c>
      <c r="R136" s="87"/>
      <c r="S136" s="87"/>
      <c r="T136" s="87"/>
      <c r="U136" s="87"/>
      <c r="V136" s="87"/>
      <c r="W136" s="87"/>
      <c r="X136" s="87">
        <f>+X137+X141+X146+X149</f>
        <v>5944179967.5</v>
      </c>
      <c r="Y136" s="87">
        <f>+Y137+Y141+Y146+Y149</f>
        <v>2226478283.6400003</v>
      </c>
      <c r="Z136" s="87"/>
      <c r="AA136" s="87">
        <f>+AA137+AA141+AA146+AA149</f>
        <v>900586271.76000011</v>
      </c>
      <c r="AB136" s="87"/>
      <c r="AC136" s="87">
        <f>+AC137+AC141+AC146+AC149</f>
        <v>2447398760.0999999</v>
      </c>
      <c r="AD136" s="87"/>
    </row>
    <row r="137" spans="2:30" s="88" customFormat="1" ht="17.25" customHeight="1" x14ac:dyDescent="0.2">
      <c r="B137" s="9" t="s">
        <v>30</v>
      </c>
      <c r="C137" s="87">
        <f>SUM(C138:C140)</f>
        <v>0</v>
      </c>
      <c r="D137" s="87"/>
      <c r="E137" s="87"/>
      <c r="F137" s="87"/>
      <c r="G137" s="87"/>
      <c r="H137" s="87"/>
      <c r="I137" s="87"/>
      <c r="J137" s="87">
        <f>SUM(J138:J140)</f>
        <v>943782060</v>
      </c>
      <c r="K137" s="87">
        <f>SUM(K138:K140)</f>
        <v>124378206</v>
      </c>
      <c r="L137" s="185">
        <f>+K137/J137</f>
        <v>0.13178699963845467</v>
      </c>
      <c r="M137" s="87">
        <f>SUM(M138:M140)</f>
        <v>60000000</v>
      </c>
      <c r="N137" s="185">
        <f>+M137/J137</f>
        <v>6.3573999276909335E-2</v>
      </c>
      <c r="O137" s="87">
        <f>SUM(O138:O140)</f>
        <v>759403854</v>
      </c>
      <c r="P137" s="185">
        <f>+O137/J137</f>
        <v>0.80463900108463604</v>
      </c>
      <c r="Q137" s="87">
        <f>SUM(Q138:Q140)</f>
        <v>0</v>
      </c>
      <c r="R137" s="87"/>
      <c r="S137" s="87"/>
      <c r="T137" s="87"/>
      <c r="U137" s="87"/>
      <c r="V137" s="87"/>
      <c r="W137" s="87"/>
      <c r="X137" s="87">
        <f>SUM(X138:X140)</f>
        <v>943782060</v>
      </c>
      <c r="Y137" s="87">
        <f>SUM(Y138:Y140)</f>
        <v>124378206</v>
      </c>
      <c r="Z137" s="185">
        <f>+Y137/X137</f>
        <v>0.13178699963845467</v>
      </c>
      <c r="AA137" s="87">
        <f>SUM(AA138:AA140)</f>
        <v>60000000</v>
      </c>
      <c r="AB137" s="185">
        <f>+AA137/X137</f>
        <v>6.3573999276909335E-2</v>
      </c>
      <c r="AC137" s="87">
        <f>SUM(AC138:AC140)</f>
        <v>759403854</v>
      </c>
      <c r="AD137" s="185">
        <f>+AC137/X137</f>
        <v>0.80463900108463604</v>
      </c>
    </row>
    <row r="138" spans="2:30" ht="36" x14ac:dyDescent="0.2">
      <c r="B138" s="12" t="s">
        <v>511</v>
      </c>
      <c r="C138" s="85">
        <f>SUM('Presupuesto detallado'!C144:E144)</f>
        <v>0</v>
      </c>
      <c r="D138" s="85"/>
      <c r="E138" s="85"/>
      <c r="F138" s="85"/>
      <c r="G138" s="85"/>
      <c r="H138" s="85"/>
      <c r="I138" s="85"/>
      <c r="J138" s="62">
        <f>SUM('Presupuesto detallado'!F144:O144)</f>
        <v>356001804</v>
      </c>
      <c r="K138" s="62">
        <f>+J138*10%</f>
        <v>35600180.399999999</v>
      </c>
      <c r="L138" s="62"/>
      <c r="M138" s="62"/>
      <c r="N138" s="62"/>
      <c r="O138" s="62">
        <f>+J138*90%</f>
        <v>320401623.60000002</v>
      </c>
      <c r="P138" s="62"/>
      <c r="Q138" s="62">
        <f>SUM('Presupuesto detallado'!P144:U144)</f>
        <v>0</v>
      </c>
      <c r="R138" s="62"/>
      <c r="S138" s="62"/>
      <c r="T138" s="62"/>
      <c r="U138" s="62"/>
      <c r="V138" s="62"/>
      <c r="W138" s="62"/>
      <c r="X138" s="62">
        <f>+Q138+J138+C138</f>
        <v>356001804</v>
      </c>
      <c r="Y138" s="62">
        <f t="shared" ref="Y138:Y153" si="31">+D138+K138+R138</f>
        <v>35600180.399999999</v>
      </c>
      <c r="Z138" s="62"/>
      <c r="AA138" s="62">
        <f t="shared" ref="AA138:AA153" si="32">+F138+M138+T138</f>
        <v>0</v>
      </c>
      <c r="AB138" s="62"/>
      <c r="AC138" s="62">
        <f t="shared" ref="AC138:AC153" si="33">+H138+O138+V138</f>
        <v>320401623.60000002</v>
      </c>
      <c r="AD138" s="62"/>
    </row>
    <row r="139" spans="2:30" ht="29.25" customHeight="1" x14ac:dyDescent="0.2">
      <c r="B139" s="12" t="s">
        <v>512</v>
      </c>
      <c r="C139" s="85">
        <f>SUM('Presupuesto detallado'!C145:E145)</f>
        <v>0</v>
      </c>
      <c r="D139" s="85"/>
      <c r="E139" s="85"/>
      <c r="F139" s="85"/>
      <c r="G139" s="85"/>
      <c r="H139" s="85"/>
      <c r="I139" s="85"/>
      <c r="J139" s="62">
        <f>SUM('Presupuesto detallado'!F145:O145)</f>
        <v>287780256</v>
      </c>
      <c r="K139" s="62">
        <f>+J139*10%</f>
        <v>28778025.600000001</v>
      </c>
      <c r="L139" s="62"/>
      <c r="M139" s="62"/>
      <c r="N139" s="62"/>
      <c r="O139" s="62">
        <f>+J139*90%</f>
        <v>259002230.40000001</v>
      </c>
      <c r="P139" s="62"/>
      <c r="Q139" s="62">
        <f>SUM('Presupuesto detallado'!P145:U145)</f>
        <v>0</v>
      </c>
      <c r="R139" s="62"/>
      <c r="S139" s="62"/>
      <c r="T139" s="62"/>
      <c r="U139" s="62"/>
      <c r="V139" s="62"/>
      <c r="W139" s="62"/>
      <c r="X139" s="62">
        <f>+Q139+J139+C139</f>
        <v>287780256</v>
      </c>
      <c r="Y139" s="62">
        <f t="shared" si="31"/>
        <v>28778025.600000001</v>
      </c>
      <c r="Z139" s="62"/>
      <c r="AA139" s="62">
        <f t="shared" si="32"/>
        <v>0</v>
      </c>
      <c r="AB139" s="62"/>
      <c r="AC139" s="62">
        <f t="shared" si="33"/>
        <v>259002230.40000001</v>
      </c>
      <c r="AD139" s="62"/>
    </row>
    <row r="140" spans="2:30" ht="41.25" customHeight="1" x14ac:dyDescent="0.2">
      <c r="B140" s="12" t="s">
        <v>513</v>
      </c>
      <c r="C140" s="85">
        <f>SUM('Presupuesto detallado'!C146:E146)</f>
        <v>0</v>
      </c>
      <c r="D140" s="85"/>
      <c r="E140" s="85"/>
      <c r="F140" s="85"/>
      <c r="G140" s="85"/>
      <c r="H140" s="85"/>
      <c r="I140" s="85"/>
      <c r="J140" s="62">
        <f>SUM('Presupuesto detallado'!F146:O146)</f>
        <v>300000000</v>
      </c>
      <c r="K140" s="62">
        <f>+J140*20%</f>
        <v>60000000</v>
      </c>
      <c r="L140" s="62"/>
      <c r="M140" s="62">
        <f>+J140*20%</f>
        <v>60000000</v>
      </c>
      <c r="N140" s="62"/>
      <c r="O140" s="62">
        <f>+J140*60%</f>
        <v>180000000</v>
      </c>
      <c r="P140" s="62"/>
      <c r="Q140" s="62">
        <f>SUM('Presupuesto detallado'!P146:U146)</f>
        <v>0</v>
      </c>
      <c r="R140" s="62"/>
      <c r="S140" s="62"/>
      <c r="T140" s="62"/>
      <c r="U140" s="62"/>
      <c r="V140" s="62"/>
      <c r="W140" s="62"/>
      <c r="X140" s="62">
        <f>+Q140+J140+C140</f>
        <v>300000000</v>
      </c>
      <c r="Y140" s="62">
        <f t="shared" si="31"/>
        <v>60000000</v>
      </c>
      <c r="Z140" s="62"/>
      <c r="AA140" s="62">
        <f t="shared" si="32"/>
        <v>60000000</v>
      </c>
      <c r="AB140" s="62"/>
      <c r="AC140" s="62">
        <f t="shared" si="33"/>
        <v>180000000</v>
      </c>
      <c r="AD140" s="62"/>
    </row>
    <row r="141" spans="2:30" s="88" customFormat="1" x14ac:dyDescent="0.2">
      <c r="B141" s="9" t="s">
        <v>31</v>
      </c>
      <c r="C141" s="87">
        <f>SUM(C142:C145)</f>
        <v>0</v>
      </c>
      <c r="D141" s="87"/>
      <c r="E141" s="87"/>
      <c r="F141" s="87"/>
      <c r="G141" s="87"/>
      <c r="H141" s="87"/>
      <c r="I141" s="87"/>
      <c r="J141" s="87">
        <f>SUM(J142:J145)</f>
        <v>2471627387</v>
      </c>
      <c r="K141" s="87">
        <f>SUM(K142:K145)</f>
        <v>712708255.79999995</v>
      </c>
      <c r="L141" s="185">
        <f>+K141/J141</f>
        <v>0.28835586607780211</v>
      </c>
      <c r="M141" s="87">
        <f>SUM(M142:M145)</f>
        <v>691547188.70000005</v>
      </c>
      <c r="N141" s="185">
        <f>+M141/J141</f>
        <v>0.27979427333477758</v>
      </c>
      <c r="O141" s="87">
        <f>SUM(O142:O145)</f>
        <v>1067371942.5</v>
      </c>
      <c r="P141" s="185">
        <f>+O141/J141</f>
        <v>0.43184986058742031</v>
      </c>
      <c r="Q141" s="87">
        <f>SUM(Q142:Q145)</f>
        <v>0</v>
      </c>
      <c r="R141" s="87"/>
      <c r="S141" s="87"/>
      <c r="T141" s="87"/>
      <c r="U141" s="87"/>
      <c r="V141" s="87"/>
      <c r="W141" s="87"/>
      <c r="X141" s="87">
        <f>SUM(X142:X145)</f>
        <v>2471627387</v>
      </c>
      <c r="Y141" s="87">
        <f>SUM(Y142:Y145)</f>
        <v>712708255.79999995</v>
      </c>
      <c r="Z141" s="185">
        <f>+Y141/X141</f>
        <v>0.28835586607780211</v>
      </c>
      <c r="AA141" s="87">
        <f>SUM(AA142:AA145)</f>
        <v>691547188.70000005</v>
      </c>
      <c r="AB141" s="185">
        <f>+AA141/X141</f>
        <v>0.27979427333477758</v>
      </c>
      <c r="AC141" s="87">
        <f>SUM(AC142:AC145)</f>
        <v>1067371942.5</v>
      </c>
      <c r="AD141" s="185">
        <f>+AC141/X141</f>
        <v>0.43184986058742031</v>
      </c>
    </row>
    <row r="142" spans="2:30" ht="24" x14ac:dyDescent="0.2">
      <c r="B142" s="12" t="s">
        <v>542</v>
      </c>
      <c r="C142" s="85">
        <f>SUM('Presupuesto detallado'!C148:E148)</f>
        <v>0</v>
      </c>
      <c r="D142" s="85"/>
      <c r="E142" s="85"/>
      <c r="F142" s="85"/>
      <c r="G142" s="85"/>
      <c r="H142" s="85"/>
      <c r="I142" s="85"/>
      <c r="J142" s="62">
        <f>SUM('Presupuesto detallado'!F148:O148)</f>
        <v>367705204</v>
      </c>
      <c r="K142" s="62">
        <f>+J142</f>
        <v>367705204</v>
      </c>
      <c r="L142" s="62"/>
      <c r="M142" s="62"/>
      <c r="N142" s="62"/>
      <c r="O142" s="62"/>
      <c r="P142" s="62"/>
      <c r="Q142" s="62">
        <f>SUM('Presupuesto detallado'!P148:U148)</f>
        <v>0</v>
      </c>
      <c r="R142" s="62"/>
      <c r="S142" s="62"/>
      <c r="T142" s="62"/>
      <c r="U142" s="62"/>
      <c r="V142" s="62"/>
      <c r="W142" s="62"/>
      <c r="X142" s="62">
        <f>+Q142+J142+C142</f>
        <v>367705204</v>
      </c>
      <c r="Y142" s="62">
        <f t="shared" si="31"/>
        <v>367705204</v>
      </c>
      <c r="Z142" s="62"/>
      <c r="AA142" s="62">
        <f t="shared" si="32"/>
        <v>0</v>
      </c>
      <c r="AB142" s="62"/>
      <c r="AC142" s="62">
        <f t="shared" si="33"/>
        <v>0</v>
      </c>
      <c r="AD142" s="62"/>
    </row>
    <row r="143" spans="2:30" ht="37.5" customHeight="1" x14ac:dyDescent="0.2">
      <c r="B143" s="12" t="s">
        <v>514</v>
      </c>
      <c r="C143" s="85">
        <f>SUM('Presupuesto detallado'!C149:E149)</f>
        <v>0</v>
      </c>
      <c r="D143" s="85"/>
      <c r="E143" s="85"/>
      <c r="F143" s="85"/>
      <c r="G143" s="85"/>
      <c r="H143" s="85"/>
      <c r="I143" s="85"/>
      <c r="J143" s="62">
        <f>SUM('Presupuesto detallado'!F149:O149)</f>
        <v>443565828</v>
      </c>
      <c r="K143" s="62">
        <f>+J143*35%</f>
        <v>155248039.79999998</v>
      </c>
      <c r="L143" s="62"/>
      <c r="M143" s="62">
        <f>+J143*65%</f>
        <v>288317788.19999999</v>
      </c>
      <c r="N143" s="62"/>
      <c r="O143" s="62"/>
      <c r="P143" s="62"/>
      <c r="Q143" s="62">
        <f>SUM('Presupuesto detallado'!P149:U149)</f>
        <v>0</v>
      </c>
      <c r="R143" s="62"/>
      <c r="S143" s="62"/>
      <c r="T143" s="62"/>
      <c r="U143" s="62"/>
      <c r="V143" s="62"/>
      <c r="W143" s="62"/>
      <c r="X143" s="62">
        <f>+Q143+J143+C143</f>
        <v>443565828</v>
      </c>
      <c r="Y143" s="62">
        <f t="shared" si="31"/>
        <v>155248039.79999998</v>
      </c>
      <c r="Z143" s="62"/>
      <c r="AA143" s="62">
        <f t="shared" si="32"/>
        <v>288317788.19999999</v>
      </c>
      <c r="AB143" s="62"/>
      <c r="AC143" s="62">
        <f t="shared" si="33"/>
        <v>0</v>
      </c>
      <c r="AD143" s="62"/>
    </row>
    <row r="144" spans="2:30" ht="24" x14ac:dyDescent="0.2">
      <c r="B144" s="12" t="s">
        <v>515</v>
      </c>
      <c r="C144" s="85">
        <f>SUM('Presupuesto detallado'!C150:E150)</f>
        <v>0</v>
      </c>
      <c r="D144" s="85"/>
      <c r="E144" s="85"/>
      <c r="F144" s="85"/>
      <c r="G144" s="85"/>
      <c r="H144" s="85"/>
      <c r="I144" s="85"/>
      <c r="J144" s="62">
        <f>SUM('Presupuesto detallado'!F150:O150)</f>
        <v>1185968825</v>
      </c>
      <c r="K144" s="62">
        <f>+J144*10%</f>
        <v>118596882.5</v>
      </c>
      <c r="L144" s="62"/>
      <c r="M144" s="62"/>
      <c r="N144" s="62"/>
      <c r="O144" s="62">
        <f>+J144*90%</f>
        <v>1067371942.5</v>
      </c>
      <c r="P144" s="62"/>
      <c r="Q144" s="62">
        <f>SUM('Presupuesto detallado'!P150:U150)</f>
        <v>0</v>
      </c>
      <c r="R144" s="62"/>
      <c r="S144" s="62"/>
      <c r="T144" s="62"/>
      <c r="U144" s="62"/>
      <c r="V144" s="62"/>
      <c r="W144" s="62"/>
      <c r="X144" s="62">
        <f>+Q144+J144+C144</f>
        <v>1185968825</v>
      </c>
      <c r="Y144" s="62">
        <f t="shared" si="31"/>
        <v>118596882.5</v>
      </c>
      <c r="Z144" s="62"/>
      <c r="AA144" s="62">
        <f t="shared" si="32"/>
        <v>0</v>
      </c>
      <c r="AB144" s="62"/>
      <c r="AC144" s="62">
        <f t="shared" si="33"/>
        <v>1067371942.5</v>
      </c>
      <c r="AD144" s="62"/>
    </row>
    <row r="145" spans="2:30" ht="27.75" customHeight="1" x14ac:dyDescent="0.2">
      <c r="B145" s="12" t="s">
        <v>543</v>
      </c>
      <c r="C145" s="85">
        <f>SUM('Presupuesto detallado'!C151:E151)</f>
        <v>0</v>
      </c>
      <c r="D145" s="85"/>
      <c r="E145" s="85"/>
      <c r="F145" s="85"/>
      <c r="G145" s="85"/>
      <c r="H145" s="85"/>
      <c r="I145" s="85"/>
      <c r="J145" s="62">
        <f>SUM('Presupuesto detallado'!F151:O151)</f>
        <v>474387530</v>
      </c>
      <c r="K145" s="62">
        <f>+J145*15%</f>
        <v>71158129.5</v>
      </c>
      <c r="L145" s="62"/>
      <c r="M145" s="62">
        <f>+J145*85%</f>
        <v>403229400.5</v>
      </c>
      <c r="N145" s="62"/>
      <c r="O145" s="62"/>
      <c r="P145" s="62"/>
      <c r="Q145" s="62">
        <f>SUM('Presupuesto detallado'!P151:U151)</f>
        <v>0</v>
      </c>
      <c r="R145" s="62"/>
      <c r="S145" s="62"/>
      <c r="T145" s="62"/>
      <c r="U145" s="62"/>
      <c r="V145" s="62"/>
      <c r="W145" s="62"/>
      <c r="X145" s="62">
        <f>+Q145+J145+C145</f>
        <v>474387530</v>
      </c>
      <c r="Y145" s="62">
        <f t="shared" si="31"/>
        <v>71158129.5</v>
      </c>
      <c r="Z145" s="62"/>
      <c r="AA145" s="62">
        <f t="shared" si="32"/>
        <v>403229400.5</v>
      </c>
      <c r="AB145" s="62"/>
      <c r="AC145" s="62">
        <f t="shared" si="33"/>
        <v>0</v>
      </c>
      <c r="AD145" s="62"/>
    </row>
    <row r="146" spans="2:30" s="88" customFormat="1" ht="16.5" customHeight="1" x14ac:dyDescent="0.2">
      <c r="B146" s="9" t="s">
        <v>32</v>
      </c>
      <c r="C146" s="62">
        <f>+'Presupuesto detallado'!C152:E152</f>
        <v>0</v>
      </c>
      <c r="D146" s="62"/>
      <c r="E146" s="62"/>
      <c r="F146" s="62"/>
      <c r="G146" s="62"/>
      <c r="H146" s="62"/>
      <c r="I146" s="62"/>
      <c r="J146" s="87">
        <f>SUM(J147:J148)</f>
        <v>508802654.5</v>
      </c>
      <c r="K146" s="87">
        <f>SUM(K147:K148)</f>
        <v>414234151.13999999</v>
      </c>
      <c r="L146" s="185">
        <f>+K146/J146</f>
        <v>0.81413520050729216</v>
      </c>
      <c r="M146" s="87">
        <f>SUM(M147:M148)</f>
        <v>94568503.359999999</v>
      </c>
      <c r="N146" s="185">
        <f>+M146/J146</f>
        <v>0.18586479949270784</v>
      </c>
      <c r="O146" s="87"/>
      <c r="P146" s="87"/>
      <c r="Q146" s="87">
        <f>SUM(Q147:Q148)</f>
        <v>0</v>
      </c>
      <c r="R146" s="87"/>
      <c r="S146" s="87"/>
      <c r="T146" s="87"/>
      <c r="U146" s="87"/>
      <c r="V146" s="87"/>
      <c r="W146" s="87"/>
      <c r="X146" s="87">
        <f>SUM(X147:X148)</f>
        <v>508802654.5</v>
      </c>
      <c r="Y146" s="87">
        <f>SUM(Y147:Y148)</f>
        <v>414234151.13999999</v>
      </c>
      <c r="Z146" s="185">
        <f>+Y146/X146</f>
        <v>0.81413520050729216</v>
      </c>
      <c r="AA146" s="87">
        <f>SUM(AA147:AA148)</f>
        <v>94568503.359999999</v>
      </c>
      <c r="AB146" s="185">
        <f>+AA146/X146</f>
        <v>0.18586479949270784</v>
      </c>
      <c r="AC146" s="87"/>
      <c r="AD146" s="87"/>
    </row>
    <row r="147" spans="2:30" ht="24" x14ac:dyDescent="0.2">
      <c r="B147" s="12" t="s">
        <v>525</v>
      </c>
      <c r="C147" s="85">
        <f>SUM('Presupuesto detallado'!C153:E153)</f>
        <v>0</v>
      </c>
      <c r="D147" s="85"/>
      <c r="E147" s="85"/>
      <c r="F147" s="85"/>
      <c r="G147" s="85"/>
      <c r="H147" s="85"/>
      <c r="I147" s="85"/>
      <c r="J147" s="62">
        <f>SUM('Presupuesto detallado'!F153:O153)</f>
        <v>219926752</v>
      </c>
      <c r="K147" s="62">
        <f>+J147*57%</f>
        <v>125358248.63999999</v>
      </c>
      <c r="L147" s="62"/>
      <c r="M147" s="62">
        <f>+J147*43%</f>
        <v>94568503.359999999</v>
      </c>
      <c r="N147" s="62"/>
      <c r="O147" s="62"/>
      <c r="P147" s="62"/>
      <c r="Q147" s="62">
        <f>SUM('Presupuesto detallado'!P153:U153)</f>
        <v>0</v>
      </c>
      <c r="R147" s="62"/>
      <c r="S147" s="62"/>
      <c r="T147" s="62"/>
      <c r="U147" s="62"/>
      <c r="V147" s="62"/>
      <c r="W147" s="62"/>
      <c r="X147" s="62">
        <f>+Q147+J147+C147</f>
        <v>219926752</v>
      </c>
      <c r="Y147" s="62">
        <f t="shared" si="31"/>
        <v>125358248.63999999</v>
      </c>
      <c r="Z147" s="62"/>
      <c r="AA147" s="62">
        <f t="shared" si="32"/>
        <v>94568503.359999999</v>
      </c>
      <c r="AB147" s="62"/>
      <c r="AC147" s="62">
        <f t="shared" si="33"/>
        <v>0</v>
      </c>
      <c r="AD147" s="62"/>
    </row>
    <row r="148" spans="2:30" ht="24" x14ac:dyDescent="0.2">
      <c r="B148" s="12" t="s">
        <v>526</v>
      </c>
      <c r="C148" s="85">
        <f>SUM('Presupuesto detallado'!C154:E154)</f>
        <v>0</v>
      </c>
      <c r="D148" s="85"/>
      <c r="E148" s="85"/>
      <c r="F148" s="85"/>
      <c r="G148" s="85"/>
      <c r="H148" s="85"/>
      <c r="I148" s="85"/>
      <c r="J148" s="62">
        <f>SUM('Presupuesto detallado'!F154:O154)</f>
        <v>288875902.5</v>
      </c>
      <c r="K148" s="62">
        <f>+J148</f>
        <v>288875902.5</v>
      </c>
      <c r="L148" s="62"/>
      <c r="M148" s="62"/>
      <c r="N148" s="62"/>
      <c r="O148" s="62"/>
      <c r="P148" s="62"/>
      <c r="Q148" s="62">
        <f>SUM('Presupuesto detallado'!P154:U154)</f>
        <v>0</v>
      </c>
      <c r="R148" s="62"/>
      <c r="S148" s="62"/>
      <c r="T148" s="62"/>
      <c r="U148" s="62"/>
      <c r="V148" s="62"/>
      <c r="W148" s="62"/>
      <c r="X148" s="62">
        <f>+Q148+J148+C148</f>
        <v>288875902.5</v>
      </c>
      <c r="Y148" s="62">
        <f t="shared" si="31"/>
        <v>288875902.5</v>
      </c>
      <c r="Z148" s="62"/>
      <c r="AA148" s="62">
        <f t="shared" si="32"/>
        <v>0</v>
      </c>
      <c r="AB148" s="62"/>
      <c r="AC148" s="62">
        <f t="shared" si="33"/>
        <v>0</v>
      </c>
      <c r="AD148" s="62"/>
    </row>
    <row r="149" spans="2:30" s="89" customFormat="1" ht="17.25" customHeight="1" x14ac:dyDescent="0.25">
      <c r="B149" s="9" t="s">
        <v>33</v>
      </c>
      <c r="C149" s="64">
        <f>SUM(C150:C153)</f>
        <v>89782914</v>
      </c>
      <c r="D149" s="64">
        <f>SUM(D150:D153)</f>
        <v>89782914</v>
      </c>
      <c r="E149" s="196">
        <f>+D149/C149</f>
        <v>1</v>
      </c>
      <c r="F149" s="64"/>
      <c r="G149" s="64"/>
      <c r="H149" s="64"/>
      <c r="I149" s="64"/>
      <c r="J149" s="64">
        <f t="shared" ref="J149:Q149" si="34">SUM(J150:J153)</f>
        <v>1560468300</v>
      </c>
      <c r="K149" s="64">
        <f t="shared" si="34"/>
        <v>885374756.70000005</v>
      </c>
      <c r="L149" s="184">
        <f>+K149/J149</f>
        <v>0.56737759857089054</v>
      </c>
      <c r="M149" s="64">
        <f t="shared" si="34"/>
        <v>54470579.700000003</v>
      </c>
      <c r="N149" s="184">
        <f>+M149/J149</f>
        <v>3.4906559588554285E-2</v>
      </c>
      <c r="O149" s="64">
        <f t="shared" si="34"/>
        <v>620622963.60000002</v>
      </c>
      <c r="P149" s="184">
        <f>+O149/J149</f>
        <v>0.3977158418405552</v>
      </c>
      <c r="Q149" s="64">
        <f t="shared" si="34"/>
        <v>369716652</v>
      </c>
      <c r="R149" s="64"/>
      <c r="S149" s="64"/>
      <c r="T149" s="64"/>
      <c r="U149" s="64"/>
      <c r="V149" s="64"/>
      <c r="W149" s="64"/>
      <c r="X149" s="64">
        <f>SUM(X150:X153)</f>
        <v>2019967866</v>
      </c>
      <c r="Y149" s="64">
        <f>SUM(Y150:Y153)</f>
        <v>975157670.70000005</v>
      </c>
      <c r="Z149" s="184">
        <f>+Y149/X149</f>
        <v>0.48275900182067555</v>
      </c>
      <c r="AA149" s="64">
        <f>SUM(AA150:AA153)</f>
        <v>54470579.700000003</v>
      </c>
      <c r="AB149" s="184">
        <f>+AA149/X149</f>
        <v>2.6966062488837633E-2</v>
      </c>
      <c r="AC149" s="64">
        <f>SUM(AC150:AC153)</f>
        <v>620622963.60000002</v>
      </c>
      <c r="AD149" s="184">
        <f>+AC149/X149</f>
        <v>0.30724397850396301</v>
      </c>
    </row>
    <row r="150" spans="2:30" ht="27" customHeight="1" x14ac:dyDescent="0.2">
      <c r="B150" s="12" t="s">
        <v>527</v>
      </c>
      <c r="C150" s="85">
        <f>SUM('Presupuesto detallado'!C156:E156)</f>
        <v>89782914</v>
      </c>
      <c r="D150" s="85">
        <f>+C150</f>
        <v>89782914</v>
      </c>
      <c r="E150" s="85"/>
      <c r="F150" s="85"/>
      <c r="G150" s="85"/>
      <c r="H150" s="85"/>
      <c r="I150" s="85"/>
      <c r="J150" s="62">
        <f>SUM('Presupuesto detallado'!F156:O156)</f>
        <v>179565828</v>
      </c>
      <c r="K150" s="62">
        <f>+J150</f>
        <v>179565828</v>
      </c>
      <c r="L150" s="62"/>
      <c r="M150" s="62"/>
      <c r="N150" s="62"/>
      <c r="O150" s="62"/>
      <c r="P150" s="62"/>
      <c r="Q150" s="62">
        <f>SUM('Presupuesto detallado'!P156:U156)</f>
        <v>0</v>
      </c>
      <c r="R150" s="62"/>
      <c r="S150" s="62"/>
      <c r="T150" s="62"/>
      <c r="U150" s="62"/>
      <c r="V150" s="62"/>
      <c r="W150" s="62"/>
      <c r="X150" s="62">
        <f>+Q150+J150+C150</f>
        <v>269348742</v>
      </c>
      <c r="Y150" s="62">
        <f t="shared" si="31"/>
        <v>269348742</v>
      </c>
      <c r="Z150" s="62"/>
      <c r="AA150" s="62">
        <f t="shared" si="32"/>
        <v>0</v>
      </c>
      <c r="AB150" s="62"/>
      <c r="AC150" s="62">
        <f t="shared" si="33"/>
        <v>0</v>
      </c>
      <c r="AD150" s="62"/>
    </row>
    <row r="151" spans="2:30" ht="27" customHeight="1" x14ac:dyDescent="0.2">
      <c r="B151" s="12" t="s">
        <v>528</v>
      </c>
      <c r="C151" s="85">
        <f>SUM('Presupuesto detallado'!C157:E157)</f>
        <v>0</v>
      </c>
      <c r="D151" s="85"/>
      <c r="E151" s="85"/>
      <c r="F151" s="85"/>
      <c r="G151" s="85"/>
      <c r="H151" s="85"/>
      <c r="I151" s="85"/>
      <c r="J151" s="62">
        <f>SUM('Presupuesto detallado'!F157:O157)</f>
        <v>616194420</v>
      </c>
      <c r="K151" s="62">
        <f>+J151*70%</f>
        <v>431336094</v>
      </c>
      <c r="L151" s="62"/>
      <c r="M151" s="62"/>
      <c r="N151" s="62"/>
      <c r="O151" s="62">
        <f>+J151*30%</f>
        <v>184858326</v>
      </c>
      <c r="P151" s="62"/>
      <c r="Q151" s="62">
        <f>SUM('Presupuesto detallado'!P157:U157)</f>
        <v>369716652</v>
      </c>
      <c r="R151" s="62"/>
      <c r="S151" s="62"/>
      <c r="T151" s="62"/>
      <c r="U151" s="62"/>
      <c r="V151" s="62"/>
      <c r="W151" s="62"/>
      <c r="X151" s="62">
        <f>+Q151+J151+C151</f>
        <v>985911072</v>
      </c>
      <c r="Y151" s="62">
        <f t="shared" si="31"/>
        <v>431336094</v>
      </c>
      <c r="Z151" s="62"/>
      <c r="AA151" s="62">
        <f t="shared" si="32"/>
        <v>0</v>
      </c>
      <c r="AB151" s="62"/>
      <c r="AC151" s="62">
        <f t="shared" si="33"/>
        <v>184858326</v>
      </c>
      <c r="AD151" s="62"/>
    </row>
    <row r="152" spans="2:30" ht="27.75" customHeight="1" x14ac:dyDescent="0.2">
      <c r="B152" s="12" t="s">
        <v>529</v>
      </c>
      <c r="C152" s="85">
        <f>SUM('Presupuesto detallado'!C158:E158)</f>
        <v>0</v>
      </c>
      <c r="D152" s="85"/>
      <c r="E152" s="85"/>
      <c r="F152" s="85"/>
      <c r="G152" s="85"/>
      <c r="H152" s="85"/>
      <c r="I152" s="85"/>
      <c r="J152" s="62">
        <f>SUM('Presupuesto detallado'!F158:O158)</f>
        <v>544705797</v>
      </c>
      <c r="K152" s="62">
        <f>+J152*10%</f>
        <v>54470579.700000003</v>
      </c>
      <c r="L152" s="62"/>
      <c r="M152" s="62">
        <f>+J152*10%</f>
        <v>54470579.700000003</v>
      </c>
      <c r="N152" s="62"/>
      <c r="O152" s="62">
        <f>+J152*80%</f>
        <v>435764637.60000002</v>
      </c>
      <c r="P152" s="62"/>
      <c r="Q152" s="62">
        <f>SUM('Presupuesto detallado'!P158:U158)</f>
        <v>0</v>
      </c>
      <c r="R152" s="62"/>
      <c r="S152" s="62"/>
      <c r="T152" s="62"/>
      <c r="U152" s="62"/>
      <c r="V152" s="62"/>
      <c r="W152" s="62"/>
      <c r="X152" s="62">
        <f>+Q152+J152+C152</f>
        <v>544705797</v>
      </c>
      <c r="Y152" s="62">
        <f t="shared" si="31"/>
        <v>54470579.700000003</v>
      </c>
      <c r="Z152" s="62"/>
      <c r="AA152" s="62">
        <f t="shared" si="32"/>
        <v>54470579.700000003</v>
      </c>
      <c r="AB152" s="62"/>
      <c r="AC152" s="62">
        <f t="shared" si="33"/>
        <v>435764637.60000002</v>
      </c>
      <c r="AD152" s="62"/>
    </row>
    <row r="153" spans="2:30" ht="27.75" customHeight="1" x14ac:dyDescent="0.2">
      <c r="B153" s="12" t="s">
        <v>530</v>
      </c>
      <c r="C153" s="85">
        <f>SUM('Presupuesto detallado'!C159:E159)</f>
        <v>0</v>
      </c>
      <c r="D153" s="85"/>
      <c r="E153" s="85"/>
      <c r="F153" s="85"/>
      <c r="G153" s="85"/>
      <c r="H153" s="85"/>
      <c r="I153" s="85"/>
      <c r="J153" s="62">
        <f>SUM('Presupuesto detallado'!F159:O159)</f>
        <v>220002255</v>
      </c>
      <c r="K153" s="62">
        <f>+J153</f>
        <v>220002255</v>
      </c>
      <c r="L153" s="62"/>
      <c r="M153" s="62"/>
      <c r="N153" s="62"/>
      <c r="O153" s="62"/>
      <c r="P153" s="62"/>
      <c r="Q153" s="62">
        <f>SUM('Presupuesto detallado'!P159:U159)</f>
        <v>0</v>
      </c>
      <c r="R153" s="62"/>
      <c r="S153" s="62"/>
      <c r="T153" s="62"/>
      <c r="U153" s="62"/>
      <c r="V153" s="62"/>
      <c r="W153" s="62"/>
      <c r="X153" s="62">
        <f>+Q153+J153+C153</f>
        <v>220002255</v>
      </c>
      <c r="Y153" s="62">
        <f t="shared" si="31"/>
        <v>220002255</v>
      </c>
      <c r="Z153" s="62"/>
      <c r="AA153" s="62">
        <f t="shared" si="32"/>
        <v>0</v>
      </c>
      <c r="AB153" s="62"/>
      <c r="AC153" s="62">
        <f t="shared" si="33"/>
        <v>0</v>
      </c>
      <c r="AD153" s="62"/>
    </row>
    <row r="154" spans="2:30" ht="17.25" customHeight="1" x14ac:dyDescent="0.2">
      <c r="B154" s="11" t="s">
        <v>35</v>
      </c>
      <c r="C154" s="86" t="e">
        <f>+C5+C29+C54+C73+C89+C97+C110+C123+C136</f>
        <v>#REF!</v>
      </c>
      <c r="D154" s="86"/>
      <c r="E154" s="86"/>
      <c r="F154" s="86"/>
      <c r="G154" s="86"/>
      <c r="H154" s="86"/>
      <c r="I154" s="86"/>
      <c r="J154" s="86" t="e">
        <f>+J5+J29+J54+J73+J89+J97+J110+J123+J136</f>
        <v>#REF!</v>
      </c>
      <c r="K154" s="86"/>
      <c r="L154" s="86"/>
      <c r="M154" s="86"/>
      <c r="N154" s="86"/>
      <c r="O154" s="86"/>
      <c r="P154" s="86"/>
      <c r="Q154" s="86" t="e">
        <f>+Q5+Q29+Q54+Q73+Q89+Q97+Q110+Q123+Q136</f>
        <v>#REF!</v>
      </c>
      <c r="R154" s="86"/>
      <c r="S154" s="86"/>
      <c r="T154" s="86"/>
      <c r="U154" s="86"/>
      <c r="V154" s="86"/>
      <c r="W154" s="86"/>
      <c r="X154" s="86" t="e">
        <f>+X136+X123+X110+X97+X89+X73+X54+X29+X5</f>
        <v>#REF!</v>
      </c>
      <c r="Y154" s="86" t="e">
        <f>+Y136+Y123+Y110+Y97+Y89+Y73+Y54+Y29+Y5</f>
        <v>#REF!</v>
      </c>
      <c r="Z154" s="186" t="e">
        <f>+Y154/X154</f>
        <v>#REF!</v>
      </c>
      <c r="AA154" s="86">
        <f>+AA136+AA123+AA110+AA97+AA89+AA73+AA54+AA29+AA5</f>
        <v>93421416638.740021</v>
      </c>
      <c r="AB154" s="186" t="e">
        <f>+AA154/X154</f>
        <v>#REF!</v>
      </c>
      <c r="AC154" s="86">
        <f>+AC136+AC123+AC110+AC97+AC89+AC73+AC54+AC29+AC5</f>
        <v>29889062627.935009</v>
      </c>
      <c r="AD154" s="186" t="e">
        <f>+AC154/X154</f>
        <v>#REF!</v>
      </c>
    </row>
    <row r="155" spans="2:30" x14ac:dyDescent="0.2">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73"/>
    </row>
    <row r="158" spans="2:30" x14ac:dyDescent="0.2">
      <c r="AA158" s="149"/>
    </row>
    <row r="159" spans="2:30" x14ac:dyDescent="0.2">
      <c r="C159" s="149"/>
      <c r="X159" s="173"/>
    </row>
  </sheetData>
  <pageMargins left="0.7" right="0.7" top="0.75" bottom="0.75" header="0.3" footer="0.3"/>
  <pageSetup orientation="portrait" r:id="rId1"/>
  <ignoredErrors>
    <ignoredError sqref="D37 E30 G30:I30 L30:N30 O30:P30 S30 E40:I40 L40:N40 U30 X31 E48:I48 L48 Z30 Y40:AA40 D58 G55 N55 Z55 D63 D60:I60 L60 X60:AB60 L68:N68 X68:AB68 D113:D114 Z111:AB111 E111 E117 L117:N117 D50 S117 L137:P137 Z137:AD137 X149 X146 L141:P141 X141:AD141 L146:N146 E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I44"/>
  <sheetViews>
    <sheetView workbookViewId="0">
      <pane ySplit="4" topLeftCell="A5" activePane="bottomLeft" state="frozen"/>
      <selection activeCell="F22" sqref="F22"/>
      <selection pane="bottomLeft" activeCell="F22" sqref="F22"/>
    </sheetView>
  </sheetViews>
  <sheetFormatPr baseColWidth="10" defaultRowHeight="12" x14ac:dyDescent="0.2"/>
  <cols>
    <col min="1" max="1" width="11.42578125" style="5"/>
    <col min="2" max="2" width="80.7109375" style="5" customWidth="1"/>
    <col min="3" max="3" width="19" style="83" bestFit="1" customWidth="1"/>
    <col min="4" max="4" width="14.42578125" style="5" bestFit="1" customWidth="1"/>
    <col min="5" max="5" width="11.42578125" style="5"/>
    <col min="6" max="6" width="14.42578125" style="5" bestFit="1" customWidth="1"/>
    <col min="7" max="7" width="11.42578125" style="5"/>
    <col min="8" max="8" width="14" style="5" customWidth="1"/>
    <col min="9" max="16384" width="11.42578125" style="5"/>
  </cols>
  <sheetData>
    <row r="2" spans="2:9" x14ac:dyDescent="0.2">
      <c r="B2" s="2" t="s">
        <v>34</v>
      </c>
    </row>
    <row r="4" spans="2:9" s="83" customFormat="1" ht="36" x14ac:dyDescent="0.25">
      <c r="B4" s="175" t="s">
        <v>36</v>
      </c>
      <c r="C4" s="84" t="s">
        <v>35</v>
      </c>
      <c r="D4" s="175" t="s">
        <v>544</v>
      </c>
      <c r="E4" s="175" t="s">
        <v>0</v>
      </c>
      <c r="F4" s="175" t="s">
        <v>545</v>
      </c>
      <c r="G4" s="175" t="s">
        <v>0</v>
      </c>
      <c r="H4" s="175" t="s">
        <v>546</v>
      </c>
      <c r="I4" s="175" t="s">
        <v>0</v>
      </c>
    </row>
    <row r="5" spans="2:9" x14ac:dyDescent="0.2">
      <c r="B5" s="8" t="s">
        <v>2</v>
      </c>
      <c r="C5" s="64">
        <v>10848076875.599998</v>
      </c>
      <c r="D5" s="64">
        <v>8333498487.2589989</v>
      </c>
      <c r="E5" s="64"/>
      <c r="F5" s="64">
        <v>1732207990.4759998</v>
      </c>
      <c r="G5" s="64"/>
      <c r="H5" s="64">
        <v>782370397.86500001</v>
      </c>
      <c r="I5" s="64"/>
    </row>
    <row r="6" spans="2:9" x14ac:dyDescent="0.2">
      <c r="B6" s="188" t="s">
        <v>4</v>
      </c>
      <c r="C6" s="189">
        <v>2676306972.8499999</v>
      </c>
      <c r="D6" s="189">
        <v>1846927052.4749999</v>
      </c>
      <c r="E6" s="190">
        <v>0.69010284366154262</v>
      </c>
      <c r="F6" s="189">
        <v>579152838.7349999</v>
      </c>
      <c r="G6" s="190">
        <v>0.21640000366559592</v>
      </c>
      <c r="H6" s="189">
        <v>250227081.64000002</v>
      </c>
      <c r="I6" s="190">
        <v>9.3497152672861419E-2</v>
      </c>
    </row>
    <row r="7" spans="2:9" ht="14.25" customHeight="1" x14ac:dyDescent="0.2">
      <c r="B7" s="188" t="s">
        <v>5</v>
      </c>
      <c r="C7" s="191">
        <v>2111211373.0499997</v>
      </c>
      <c r="D7" s="191">
        <v>1707403158.5640001</v>
      </c>
      <c r="E7" s="190">
        <v>0.80873150853548559</v>
      </c>
      <c r="F7" s="191">
        <v>109622914.38599999</v>
      </c>
      <c r="G7" s="190">
        <v>5.1924177647656028E-2</v>
      </c>
      <c r="H7" s="191">
        <v>294185300.10000002</v>
      </c>
      <c r="I7" s="190">
        <v>0.13934431381685858</v>
      </c>
    </row>
    <row r="8" spans="2:9" ht="13.5" customHeight="1" x14ac:dyDescent="0.2">
      <c r="B8" s="188" t="s">
        <v>6</v>
      </c>
      <c r="C8" s="191">
        <v>1126016915.1999998</v>
      </c>
      <c r="D8" s="191">
        <v>901009485.91999996</v>
      </c>
      <c r="E8" s="192">
        <v>0.80017402381558833</v>
      </c>
      <c r="F8" s="191">
        <v>225007429.28</v>
      </c>
      <c r="G8" s="192">
        <v>0.19982597618441181</v>
      </c>
      <c r="H8" s="191"/>
      <c r="I8" s="191"/>
    </row>
    <row r="9" spans="2:9" ht="19.5" customHeight="1" x14ac:dyDescent="0.2">
      <c r="B9" s="188" t="s">
        <v>3</v>
      </c>
      <c r="C9" s="191">
        <v>3983092865.5</v>
      </c>
      <c r="D9" s="191">
        <v>2950064708.1500001</v>
      </c>
      <c r="E9" s="192">
        <v>0.74064673050992913</v>
      </c>
      <c r="F9" s="191">
        <v>795070141.22500002</v>
      </c>
      <c r="G9" s="192">
        <v>0.1996112488643155</v>
      </c>
      <c r="H9" s="191">
        <v>237958016.125</v>
      </c>
      <c r="I9" s="190">
        <v>5.9742020625755357E-2</v>
      </c>
    </row>
    <row r="10" spans="2:9" ht="16.5" customHeight="1" x14ac:dyDescent="0.2">
      <c r="B10" s="188" t="s">
        <v>7</v>
      </c>
      <c r="C10" s="191">
        <v>951448749</v>
      </c>
      <c r="D10" s="191">
        <v>928094082.14999998</v>
      </c>
      <c r="E10" s="192">
        <v>0.97545357343257166</v>
      </c>
      <c r="F10" s="191">
        <v>23354666.850000001</v>
      </c>
      <c r="G10" s="192">
        <v>2.4546426567428281E-2</v>
      </c>
      <c r="H10" s="191"/>
      <c r="I10" s="191"/>
    </row>
    <row r="11" spans="2:9" s="89" customFormat="1" ht="14.25" customHeight="1" x14ac:dyDescent="0.25">
      <c r="B11" s="8" t="s">
        <v>212</v>
      </c>
      <c r="C11" s="64">
        <v>5133551713.1999998</v>
      </c>
      <c r="D11" s="64">
        <v>3644112981.066</v>
      </c>
      <c r="E11" s="64"/>
      <c r="F11" s="64">
        <v>1320088868.3940001</v>
      </c>
      <c r="G11" s="64"/>
      <c r="H11" s="64">
        <v>169349863.73999998</v>
      </c>
      <c r="I11" s="64"/>
    </row>
    <row r="12" spans="2:9" s="83" customFormat="1" ht="16.5" customHeight="1" x14ac:dyDescent="0.25">
      <c r="B12" s="188" t="s">
        <v>11</v>
      </c>
      <c r="C12" s="189">
        <v>2377426862.5</v>
      </c>
      <c r="D12" s="189">
        <v>1943070293.8000002</v>
      </c>
      <c r="E12" s="193">
        <v>0.81729971358898124</v>
      </c>
      <c r="F12" s="189">
        <v>434356568.69999999</v>
      </c>
      <c r="G12" s="193">
        <v>0.18270028641101888</v>
      </c>
      <c r="H12" s="189"/>
      <c r="I12" s="189"/>
    </row>
    <row r="13" spans="2:9" s="83" customFormat="1" ht="24" x14ac:dyDescent="0.25">
      <c r="B13" s="188" t="s">
        <v>12</v>
      </c>
      <c r="C13" s="189">
        <v>1513584236</v>
      </c>
      <c r="D13" s="189">
        <v>1039704224.5999999</v>
      </c>
      <c r="E13" s="192">
        <v>0.6869153363724646</v>
      </c>
      <c r="F13" s="189">
        <v>337525084.19999999</v>
      </c>
      <c r="G13" s="193">
        <v>0.22299722484688986</v>
      </c>
      <c r="H13" s="189">
        <v>136354927.19999999</v>
      </c>
      <c r="I13" s="193">
        <v>9.0087438780645429E-2</v>
      </c>
    </row>
    <row r="14" spans="2:9" s="83" customFormat="1" ht="15" customHeight="1" x14ac:dyDescent="0.25">
      <c r="B14" s="188" t="s">
        <v>13</v>
      </c>
      <c r="C14" s="189">
        <v>1242540614.6999998</v>
      </c>
      <c r="D14" s="189">
        <v>661338462.66600001</v>
      </c>
      <c r="E14" s="192">
        <v>0.53224695824182311</v>
      </c>
      <c r="F14" s="189">
        <v>548207215.49399996</v>
      </c>
      <c r="G14" s="193">
        <v>0.44119862884832917</v>
      </c>
      <c r="H14" s="189">
        <v>32994936.539999999</v>
      </c>
      <c r="I14" s="193">
        <v>2.6554412909847884E-2</v>
      </c>
    </row>
    <row r="15" spans="2:9" s="89" customFormat="1" ht="15" customHeight="1" x14ac:dyDescent="0.25">
      <c r="B15" s="8" t="s">
        <v>10</v>
      </c>
      <c r="C15" s="64">
        <v>3075335005.6999998</v>
      </c>
      <c r="D15" s="64">
        <v>2451687990.8000002</v>
      </c>
      <c r="E15" s="64"/>
      <c r="F15" s="64">
        <v>623647014.89999998</v>
      </c>
      <c r="G15" s="64"/>
      <c r="H15" s="64">
        <v>0</v>
      </c>
      <c r="I15" s="64"/>
    </row>
    <row r="16" spans="2:9" s="83" customFormat="1" ht="13.5" customHeight="1" x14ac:dyDescent="0.25">
      <c r="B16" s="188" t="s">
        <v>392</v>
      </c>
      <c r="C16" s="189">
        <v>1445021551.5</v>
      </c>
      <c r="D16" s="189">
        <v>1064418910</v>
      </c>
      <c r="E16" s="192">
        <v>0.73661109683456505</v>
      </c>
      <c r="F16" s="189">
        <v>380602641.5</v>
      </c>
      <c r="G16" s="193">
        <v>0.2633889031654349</v>
      </c>
      <c r="H16" s="189"/>
      <c r="I16" s="189"/>
    </row>
    <row r="17" spans="2:9" s="83" customFormat="1" ht="18" customHeight="1" x14ac:dyDescent="0.25">
      <c r="B17" s="188" t="s">
        <v>401</v>
      </c>
      <c r="C17" s="189">
        <v>1015808208.2</v>
      </c>
      <c r="D17" s="189">
        <v>823906494.4000001</v>
      </c>
      <c r="E17" s="192">
        <v>0.81108469861643717</v>
      </c>
      <c r="F17" s="189">
        <v>191901713.80000001</v>
      </c>
      <c r="G17" s="193">
        <v>0.18891530138356288</v>
      </c>
      <c r="H17" s="189"/>
      <c r="I17" s="189"/>
    </row>
    <row r="18" spans="2:9" s="83" customFormat="1" ht="18" customHeight="1" x14ac:dyDescent="0.25">
      <c r="B18" s="188" t="s">
        <v>14</v>
      </c>
      <c r="C18" s="189">
        <v>614505246</v>
      </c>
      <c r="D18" s="189">
        <v>563362586.39999998</v>
      </c>
      <c r="E18" s="192">
        <v>0.91677425061396456</v>
      </c>
      <c r="F18" s="189">
        <v>51142659.599999994</v>
      </c>
      <c r="G18" s="193">
        <v>8.3225749386035344E-2</v>
      </c>
      <c r="H18" s="189"/>
      <c r="I18" s="189"/>
    </row>
    <row r="19" spans="2:9" s="89" customFormat="1" ht="15.75" customHeight="1" x14ac:dyDescent="0.25">
      <c r="B19" s="8" t="s">
        <v>213</v>
      </c>
      <c r="C19" s="64">
        <v>3688249293.3999996</v>
      </c>
      <c r="D19" s="64">
        <v>2284028477.6399999</v>
      </c>
      <c r="E19" s="64"/>
      <c r="F19" s="64">
        <v>1119429466.9549999</v>
      </c>
      <c r="G19" s="64"/>
      <c r="H19" s="64">
        <v>284791348.80500001</v>
      </c>
      <c r="I19" s="64"/>
    </row>
    <row r="20" spans="2:9" s="83" customFormat="1" ht="18" customHeight="1" x14ac:dyDescent="0.25">
      <c r="B20" s="188" t="s">
        <v>15</v>
      </c>
      <c r="C20" s="189">
        <v>2291459274.3999996</v>
      </c>
      <c r="D20" s="189">
        <v>1549659382.74</v>
      </c>
      <c r="E20" s="190">
        <v>0.67627620532150456</v>
      </c>
      <c r="F20" s="189">
        <v>592190784.08000004</v>
      </c>
      <c r="G20" s="190">
        <v>0.25843391182898529</v>
      </c>
      <c r="H20" s="189">
        <v>149609107.58000001</v>
      </c>
      <c r="I20" s="190">
        <v>6.5289882849510372E-2</v>
      </c>
    </row>
    <row r="21" spans="2:9" ht="17.25" customHeight="1" x14ac:dyDescent="0.2">
      <c r="B21" s="188" t="s">
        <v>16</v>
      </c>
      <c r="C21" s="191">
        <v>1396790019</v>
      </c>
      <c r="D21" s="191">
        <v>734369094.89999998</v>
      </c>
      <c r="E21" s="190">
        <v>0.52575482707540733</v>
      </c>
      <c r="F21" s="191">
        <v>527238682.875</v>
      </c>
      <c r="G21" s="190">
        <v>0.37746452630901856</v>
      </c>
      <c r="H21" s="191">
        <v>135182241.22499999</v>
      </c>
      <c r="I21" s="190">
        <v>9.6780646615574076E-2</v>
      </c>
    </row>
    <row r="22" spans="2:9" s="89" customFormat="1" ht="15.75" customHeight="1" x14ac:dyDescent="0.25">
      <c r="B22" s="8" t="s">
        <v>17</v>
      </c>
      <c r="C22" s="64">
        <v>2408414253.5999999</v>
      </c>
      <c r="D22" s="64">
        <v>1437572255.4000001</v>
      </c>
      <c r="E22" s="64"/>
      <c r="F22" s="64">
        <v>886894458.31999993</v>
      </c>
      <c r="G22" s="64"/>
      <c r="H22" s="64">
        <v>83947539.879999995</v>
      </c>
      <c r="I22" s="64"/>
    </row>
    <row r="23" spans="2:9" s="83" customFormat="1" ht="15.75" customHeight="1" x14ac:dyDescent="0.25">
      <c r="B23" s="188" t="s">
        <v>18</v>
      </c>
      <c r="C23" s="189">
        <v>729621477.5999999</v>
      </c>
      <c r="D23" s="189">
        <v>547216108.19999993</v>
      </c>
      <c r="E23" s="193">
        <v>0.75</v>
      </c>
      <c r="F23" s="189">
        <v>145924295.51999998</v>
      </c>
      <c r="G23" s="193">
        <v>0.2</v>
      </c>
      <c r="H23" s="189">
        <v>36481073.879999995</v>
      </c>
      <c r="I23" s="193">
        <v>0.05</v>
      </c>
    </row>
    <row r="24" spans="2:9" ht="23.25" customHeight="1" x14ac:dyDescent="0.2">
      <c r="B24" s="188" t="s">
        <v>19</v>
      </c>
      <c r="C24" s="191">
        <v>1678792776</v>
      </c>
      <c r="D24" s="191">
        <v>890356147.20000005</v>
      </c>
      <c r="E24" s="193">
        <v>0.53035500267127667</v>
      </c>
      <c r="F24" s="191">
        <v>740970162.79999995</v>
      </c>
      <c r="G24" s="193">
        <v>0.44137083110726938</v>
      </c>
      <c r="H24" s="191">
        <v>47466466</v>
      </c>
      <c r="I24" s="194">
        <v>2.8274166221453886E-2</v>
      </c>
    </row>
    <row r="25" spans="2:9" s="89" customFormat="1" ht="15" customHeight="1" x14ac:dyDescent="0.25">
      <c r="B25" s="8" t="s">
        <v>20</v>
      </c>
      <c r="C25" s="64">
        <v>3842693844.2999992</v>
      </c>
      <c r="D25" s="64">
        <v>2538156189.5699997</v>
      </c>
      <c r="E25" s="64"/>
      <c r="F25" s="64">
        <v>1244015008.7299998</v>
      </c>
      <c r="G25" s="64"/>
      <c r="H25" s="64">
        <v>60522646</v>
      </c>
      <c r="I25" s="64"/>
    </row>
    <row r="26" spans="2:9" s="83" customFormat="1" ht="24" x14ac:dyDescent="0.2">
      <c r="B26" s="188" t="s">
        <v>21</v>
      </c>
      <c r="C26" s="189">
        <v>1917260164.3999999</v>
      </c>
      <c r="D26" s="189">
        <v>1342082115.0799997</v>
      </c>
      <c r="E26" s="193">
        <v>0.69999999999999984</v>
      </c>
      <c r="F26" s="189">
        <v>542242585.39999986</v>
      </c>
      <c r="G26" s="193">
        <v>0.28282159900281079</v>
      </c>
      <c r="H26" s="189">
        <v>32935463.920000002</v>
      </c>
      <c r="I26" s="194">
        <v>1.7178400997189154E-2</v>
      </c>
    </row>
    <row r="27" spans="2:9" x14ac:dyDescent="0.2">
      <c r="B27" s="188" t="s">
        <v>22</v>
      </c>
      <c r="C27" s="191">
        <v>1925433679.8999996</v>
      </c>
      <c r="D27" s="191">
        <v>1196074074.4899998</v>
      </c>
      <c r="E27" s="193">
        <v>0.62119723310964403</v>
      </c>
      <c r="F27" s="191">
        <v>701772423.32999992</v>
      </c>
      <c r="G27" s="193">
        <v>0.36447499109210946</v>
      </c>
      <c r="H27" s="191">
        <v>27587182.079999998</v>
      </c>
      <c r="I27" s="194">
        <v>1.4327775798246544E-2</v>
      </c>
    </row>
    <row r="28" spans="2:9" s="88" customFormat="1" ht="16.5" customHeight="1" x14ac:dyDescent="0.2">
      <c r="B28" s="8" t="s">
        <v>23</v>
      </c>
      <c r="C28" s="87">
        <v>2056255724</v>
      </c>
      <c r="D28" s="87">
        <v>1367150342.9299998</v>
      </c>
      <c r="E28" s="87"/>
      <c r="F28" s="87">
        <v>613536649.47000003</v>
      </c>
      <c r="G28" s="87"/>
      <c r="H28" s="87">
        <v>75568731.599999994</v>
      </c>
      <c r="I28" s="87"/>
    </row>
    <row r="29" spans="2:9" ht="15.75" customHeight="1" x14ac:dyDescent="0.2">
      <c r="B29" s="188" t="s">
        <v>24</v>
      </c>
      <c r="C29" s="191">
        <v>862464180</v>
      </c>
      <c r="D29" s="191">
        <v>705578740.04999995</v>
      </c>
      <c r="E29" s="194">
        <v>0.81809628319868299</v>
      </c>
      <c r="F29" s="191">
        <v>156885439.95000002</v>
      </c>
      <c r="G29" s="194">
        <v>0.18190371680131692</v>
      </c>
      <c r="H29" s="191"/>
      <c r="I29" s="191"/>
    </row>
    <row r="30" spans="2:9" ht="17.25" customHeight="1" x14ac:dyDescent="0.2">
      <c r="B30" s="188" t="s">
        <v>25</v>
      </c>
      <c r="C30" s="191">
        <v>1193791544</v>
      </c>
      <c r="D30" s="191">
        <v>661571602.87999988</v>
      </c>
      <c r="E30" s="194">
        <v>0.55417682107488597</v>
      </c>
      <c r="F30" s="191">
        <v>456651209.51999998</v>
      </c>
      <c r="G30" s="194">
        <v>0.3825217323871411</v>
      </c>
      <c r="H30" s="191">
        <v>75568731.599999994</v>
      </c>
      <c r="I30" s="194">
        <v>6.3301446537972789E-2</v>
      </c>
    </row>
    <row r="31" spans="2:9" s="88" customFormat="1" ht="14.25" customHeight="1" x14ac:dyDescent="0.2">
      <c r="B31" s="8" t="s">
        <v>26</v>
      </c>
      <c r="C31" s="87">
        <v>2017620237</v>
      </c>
      <c r="D31" s="87">
        <v>1704000236.7000003</v>
      </c>
      <c r="E31" s="87"/>
      <c r="F31" s="87">
        <v>266161733.10000002</v>
      </c>
      <c r="G31" s="87"/>
      <c r="H31" s="87">
        <v>47458267.200000003</v>
      </c>
      <c r="I31" s="87"/>
    </row>
    <row r="32" spans="2:9" ht="17.25" customHeight="1" x14ac:dyDescent="0.2">
      <c r="B32" s="188" t="s">
        <v>27</v>
      </c>
      <c r="C32" s="191">
        <v>1644178539</v>
      </c>
      <c r="D32" s="191">
        <v>1415390141.1000001</v>
      </c>
      <c r="E32" s="194">
        <v>0.8608494196505263</v>
      </c>
      <c r="F32" s="191">
        <v>191473393.5</v>
      </c>
      <c r="G32" s="194">
        <v>0.11645535381848211</v>
      </c>
      <c r="H32" s="191">
        <v>37315004.400000006</v>
      </c>
      <c r="I32" s="194">
        <v>2.2695226530991722E-2</v>
      </c>
    </row>
    <row r="33" spans="2:9" ht="17.25" customHeight="1" x14ac:dyDescent="0.2">
      <c r="B33" s="188" t="s">
        <v>28</v>
      </c>
      <c r="C33" s="191">
        <v>373441698</v>
      </c>
      <c r="D33" s="191">
        <v>288610095.60000002</v>
      </c>
      <c r="E33" s="194">
        <v>0.77283843005662434</v>
      </c>
      <c r="F33" s="191">
        <v>74688339.600000009</v>
      </c>
      <c r="G33" s="194">
        <v>0.2</v>
      </c>
      <c r="H33" s="191">
        <v>10143262.800000001</v>
      </c>
      <c r="I33" s="194">
        <v>2.7161569943375742E-2</v>
      </c>
    </row>
    <row r="34" spans="2:9" s="88" customFormat="1" ht="15.75" customHeight="1" x14ac:dyDescent="0.2">
      <c r="B34" s="8" t="s">
        <v>29</v>
      </c>
      <c r="C34" s="87">
        <v>2731553052</v>
      </c>
      <c r="D34" s="87">
        <v>1047153680.3500001</v>
      </c>
      <c r="E34" s="87"/>
      <c r="F34" s="87">
        <v>625662514.42000008</v>
      </c>
      <c r="G34" s="87"/>
      <c r="H34" s="87">
        <v>1058736857.23</v>
      </c>
      <c r="I34" s="87"/>
    </row>
    <row r="35" spans="2:9" ht="17.25" customHeight="1" x14ac:dyDescent="0.2">
      <c r="B35" s="188" t="s">
        <v>30</v>
      </c>
      <c r="C35" s="191">
        <v>903782060</v>
      </c>
      <c r="D35" s="191">
        <v>114378206</v>
      </c>
      <c r="E35" s="195">
        <v>0.12655507457184978</v>
      </c>
      <c r="F35" s="191">
        <v>48000000</v>
      </c>
      <c r="G35" s="195">
        <v>5.3110149143699534E-2</v>
      </c>
      <c r="H35" s="191">
        <v>741403854</v>
      </c>
      <c r="I35" s="195">
        <v>0.82033477628445073</v>
      </c>
    </row>
    <row r="36" spans="2:9" x14ac:dyDescent="0.2">
      <c r="B36" s="188" t="s">
        <v>31</v>
      </c>
      <c r="C36" s="191">
        <v>939853434.10000002</v>
      </c>
      <c r="D36" s="191">
        <v>313640322.15000004</v>
      </c>
      <c r="E36" s="195">
        <v>0.33371194993859948</v>
      </c>
      <c r="F36" s="191">
        <v>433581040</v>
      </c>
      <c r="G36" s="195">
        <v>0.46132835638909542</v>
      </c>
      <c r="H36" s="191">
        <v>192632071.95000002</v>
      </c>
      <c r="I36" s="195">
        <v>0.20495969367230513</v>
      </c>
    </row>
    <row r="37" spans="2:9" ht="16.5" customHeight="1" x14ac:dyDescent="0.2">
      <c r="B37" s="188" t="s">
        <v>32</v>
      </c>
      <c r="C37" s="191">
        <v>486664046.5</v>
      </c>
      <c r="D37" s="191">
        <v>354255155.27999997</v>
      </c>
      <c r="E37" s="195">
        <v>0.72792547102614036</v>
      </c>
      <c r="F37" s="191">
        <v>132408891.22</v>
      </c>
      <c r="G37" s="195">
        <v>0.27207452897385959</v>
      </c>
      <c r="H37" s="191"/>
      <c r="I37" s="191"/>
    </row>
    <row r="38" spans="2:9" s="83" customFormat="1" ht="17.25" customHeight="1" x14ac:dyDescent="0.25">
      <c r="B38" s="188" t="s">
        <v>33</v>
      </c>
      <c r="C38" s="189">
        <v>401253511.40000004</v>
      </c>
      <c r="D38" s="189">
        <v>264879996.92000002</v>
      </c>
      <c r="E38" s="190">
        <v>0.66013128706541702</v>
      </c>
      <c r="F38" s="189">
        <v>11672583.200000001</v>
      </c>
      <c r="G38" s="190">
        <v>2.9090295457536525E-2</v>
      </c>
      <c r="H38" s="189">
        <v>124700931.28</v>
      </c>
      <c r="I38" s="190">
        <v>0.31077841747704638</v>
      </c>
    </row>
    <row r="39" spans="2:9" ht="17.25" customHeight="1" x14ac:dyDescent="0.2">
      <c r="B39" s="11" t="s">
        <v>35</v>
      </c>
      <c r="C39" s="86">
        <v>35801749998.800003</v>
      </c>
      <c r="D39" s="86">
        <v>24807360641.714996</v>
      </c>
      <c r="E39" s="186">
        <v>0.69290916345001252</v>
      </c>
      <c r="F39" s="86">
        <v>8431643704.7649994</v>
      </c>
      <c r="G39" s="186">
        <v>0.2355092615597732</v>
      </c>
      <c r="H39" s="86">
        <v>2562745652.3199997</v>
      </c>
      <c r="I39" s="186">
        <v>7.1581574990214086E-2</v>
      </c>
    </row>
    <row r="40" spans="2:9" x14ac:dyDescent="0.2">
      <c r="C40" s="173"/>
    </row>
    <row r="43" spans="2:9" x14ac:dyDescent="0.2">
      <c r="F43" s="149"/>
    </row>
    <row r="44" spans="2:9" x14ac:dyDescent="0.2">
      <c r="C44" s="17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I45"/>
  <sheetViews>
    <sheetView workbookViewId="0">
      <selection activeCell="F22" sqref="F22"/>
    </sheetView>
  </sheetViews>
  <sheetFormatPr baseColWidth="10" defaultRowHeight="12" x14ac:dyDescent="0.2"/>
  <cols>
    <col min="1" max="1" width="11.42578125" style="5"/>
    <col min="2" max="2" width="67.140625" style="5" customWidth="1"/>
    <col min="3" max="3" width="12.7109375" style="83" customWidth="1"/>
    <col min="4" max="4" width="13" style="5" customWidth="1"/>
    <col min="5" max="5" width="7.7109375" style="5" customWidth="1"/>
    <col min="6" max="6" width="11.28515625" style="5" customWidth="1"/>
    <col min="7" max="7" width="7.5703125" style="5" customWidth="1"/>
    <col min="8" max="8" width="12.7109375" style="5" customWidth="1"/>
    <col min="9" max="9" width="7" style="5" bestFit="1" customWidth="1"/>
    <col min="10" max="16384" width="11.42578125" style="5"/>
  </cols>
  <sheetData>
    <row r="2" spans="2:9" x14ac:dyDescent="0.2">
      <c r="B2" s="2" t="s">
        <v>34</v>
      </c>
    </row>
    <row r="4" spans="2:9" ht="25.5" customHeight="1" x14ac:dyDescent="0.2">
      <c r="B4" s="316" t="s">
        <v>548</v>
      </c>
      <c r="C4" s="316"/>
      <c r="D4" s="316"/>
      <c r="E4" s="316"/>
      <c r="F4" s="316"/>
      <c r="G4" s="316"/>
      <c r="H4" s="316"/>
      <c r="I4" s="316"/>
    </row>
    <row r="5" spans="2:9" s="83" customFormat="1" ht="39" customHeight="1" x14ac:dyDescent="0.25">
      <c r="B5" s="175" t="s">
        <v>36</v>
      </c>
      <c r="C5" s="84" t="s">
        <v>547</v>
      </c>
      <c r="D5" s="175" t="s">
        <v>544</v>
      </c>
      <c r="E5" s="175" t="s">
        <v>0</v>
      </c>
      <c r="F5" s="175" t="s">
        <v>545</v>
      </c>
      <c r="G5" s="175" t="s">
        <v>0</v>
      </c>
      <c r="H5" s="175" t="s">
        <v>549</v>
      </c>
      <c r="I5" s="175" t="s">
        <v>0</v>
      </c>
    </row>
    <row r="6" spans="2:9" x14ac:dyDescent="0.2">
      <c r="B6" s="8" t="s">
        <v>2</v>
      </c>
      <c r="C6" s="64">
        <v>10848.076875599998</v>
      </c>
      <c r="D6" s="64">
        <v>8333.4984872589994</v>
      </c>
      <c r="E6" s="184">
        <f>+D6/C6</f>
        <v>0.76820053755362794</v>
      </c>
      <c r="F6" s="64">
        <v>1732.2079904759998</v>
      </c>
      <c r="G6" s="184">
        <f>+F6/C6</f>
        <v>0.15967880854275315</v>
      </c>
      <c r="H6" s="64">
        <v>782.37039786499997</v>
      </c>
      <c r="I6" s="184">
        <f>+H6/C6</f>
        <v>7.2120653903618992E-2</v>
      </c>
    </row>
    <row r="7" spans="2:9" x14ac:dyDescent="0.2">
      <c r="B7" s="188" t="s">
        <v>4</v>
      </c>
      <c r="C7" s="189">
        <v>2676.30697285</v>
      </c>
      <c r="D7" s="189">
        <v>1846.927052475</v>
      </c>
      <c r="E7" s="190">
        <v>0.69010284366154262</v>
      </c>
      <c r="F7" s="189">
        <v>579.15283873499993</v>
      </c>
      <c r="G7" s="190">
        <v>0.21640000366559592</v>
      </c>
      <c r="H7" s="189">
        <v>250.22708164000002</v>
      </c>
      <c r="I7" s="190">
        <v>9.3497152672861419E-2</v>
      </c>
    </row>
    <row r="8" spans="2:9" ht="14.25" customHeight="1" x14ac:dyDescent="0.2">
      <c r="B8" s="188" t="s">
        <v>5</v>
      </c>
      <c r="C8" s="189">
        <v>2111.2113730499996</v>
      </c>
      <c r="D8" s="189">
        <v>1707.403158564</v>
      </c>
      <c r="E8" s="190">
        <v>0.80873150853548559</v>
      </c>
      <c r="F8" s="189">
        <v>109.62291438599999</v>
      </c>
      <c r="G8" s="190">
        <v>5.1924177647656028E-2</v>
      </c>
      <c r="H8" s="189">
        <v>294.18530010000001</v>
      </c>
      <c r="I8" s="190">
        <v>0.13934431381685858</v>
      </c>
    </row>
    <row r="9" spans="2:9" ht="13.5" customHeight="1" x14ac:dyDescent="0.2">
      <c r="B9" s="188" t="s">
        <v>6</v>
      </c>
      <c r="C9" s="189">
        <v>1126.0169151999999</v>
      </c>
      <c r="D9" s="189">
        <v>901.00948591999997</v>
      </c>
      <c r="E9" s="192">
        <v>0.80017402381558833</v>
      </c>
      <c r="F9" s="189">
        <v>225.00742928</v>
      </c>
      <c r="G9" s="192">
        <v>0.19982597618441181</v>
      </c>
      <c r="H9" s="189">
        <v>0</v>
      </c>
      <c r="I9" s="189"/>
    </row>
    <row r="10" spans="2:9" ht="19.5" customHeight="1" x14ac:dyDescent="0.2">
      <c r="B10" s="188" t="s">
        <v>3</v>
      </c>
      <c r="C10" s="189">
        <v>3983.0928654999998</v>
      </c>
      <c r="D10" s="189">
        <v>2950.0647081500001</v>
      </c>
      <c r="E10" s="192">
        <v>0.74064673050992913</v>
      </c>
      <c r="F10" s="189">
        <v>795.07014122500004</v>
      </c>
      <c r="G10" s="192">
        <v>0.1996112488643155</v>
      </c>
      <c r="H10" s="189">
        <v>237.958016125</v>
      </c>
      <c r="I10" s="190">
        <v>5.9742020625755357E-2</v>
      </c>
    </row>
    <row r="11" spans="2:9" ht="16.5" customHeight="1" x14ac:dyDescent="0.2">
      <c r="B11" s="188" t="s">
        <v>7</v>
      </c>
      <c r="C11" s="189">
        <v>951.44874900000002</v>
      </c>
      <c r="D11" s="189">
        <v>928.09408214999996</v>
      </c>
      <c r="E11" s="192">
        <v>0.97545357343257166</v>
      </c>
      <c r="F11" s="189">
        <v>23.354666850000001</v>
      </c>
      <c r="G11" s="192">
        <v>2.4546426567428281E-2</v>
      </c>
      <c r="H11" s="189">
        <v>0</v>
      </c>
      <c r="I11" s="189"/>
    </row>
    <row r="12" spans="2:9" s="89" customFormat="1" ht="14.25" customHeight="1" x14ac:dyDescent="0.25">
      <c r="B12" s="8" t="s">
        <v>212</v>
      </c>
      <c r="C12" s="64">
        <v>5133.5517131999995</v>
      </c>
      <c r="D12" s="64">
        <v>3644.112981066</v>
      </c>
      <c r="E12" s="184">
        <f>+D12/C12</f>
        <v>0.70986194055390983</v>
      </c>
      <c r="F12" s="64">
        <v>1320.088868394</v>
      </c>
      <c r="G12" s="184">
        <f>+F12/C12</f>
        <v>0.25714922964536041</v>
      </c>
      <c r="H12" s="64">
        <v>169.34986373999999</v>
      </c>
      <c r="I12" s="184">
        <f>+H12/C12</f>
        <v>3.2988829800729862E-2</v>
      </c>
    </row>
    <row r="13" spans="2:9" s="83" customFormat="1" ht="16.5" customHeight="1" x14ac:dyDescent="0.25">
      <c r="B13" s="188" t="s">
        <v>11</v>
      </c>
      <c r="C13" s="189">
        <v>2377.4268625</v>
      </c>
      <c r="D13" s="189">
        <v>1943.0702938000002</v>
      </c>
      <c r="E13" s="193">
        <v>0.81729971358898124</v>
      </c>
      <c r="F13" s="189">
        <v>434.35656869999997</v>
      </c>
      <c r="G13" s="193">
        <v>0.18270028641101888</v>
      </c>
      <c r="H13" s="189">
        <v>0</v>
      </c>
      <c r="I13" s="189"/>
    </row>
    <row r="14" spans="2:9" s="83" customFormat="1" ht="24" x14ac:dyDescent="0.25">
      <c r="B14" s="188" t="s">
        <v>12</v>
      </c>
      <c r="C14" s="189">
        <v>1513.5842359999999</v>
      </c>
      <c r="D14" s="189">
        <v>1039.7042245999999</v>
      </c>
      <c r="E14" s="192">
        <v>0.6869153363724646</v>
      </c>
      <c r="F14" s="189">
        <v>337.52508419999998</v>
      </c>
      <c r="G14" s="193">
        <v>0.22299722484688986</v>
      </c>
      <c r="H14" s="189">
        <v>136.35492719999999</v>
      </c>
      <c r="I14" s="193">
        <v>9.0087438780645429E-2</v>
      </c>
    </row>
    <row r="15" spans="2:9" s="83" customFormat="1" ht="15" customHeight="1" x14ac:dyDescent="0.25">
      <c r="B15" s="188" t="s">
        <v>13</v>
      </c>
      <c r="C15" s="189">
        <v>1242.5406146999999</v>
      </c>
      <c r="D15" s="189">
        <v>661.33846266600005</v>
      </c>
      <c r="E15" s="192">
        <v>0.53224695824182311</v>
      </c>
      <c r="F15" s="189">
        <v>548.20721549399991</v>
      </c>
      <c r="G15" s="193">
        <v>0.44119862884832917</v>
      </c>
      <c r="H15" s="189">
        <v>32.994936539999998</v>
      </c>
      <c r="I15" s="193">
        <v>2.6554412909847884E-2</v>
      </c>
    </row>
    <row r="16" spans="2:9" s="89" customFormat="1" ht="15" customHeight="1" x14ac:dyDescent="0.25">
      <c r="B16" s="8" t="s">
        <v>10</v>
      </c>
      <c r="C16" s="64">
        <v>3075.3350056999998</v>
      </c>
      <c r="D16" s="64">
        <v>2451.6879908000001</v>
      </c>
      <c r="E16" s="184">
        <f>+D16/C16</f>
        <v>0.7972100555731011</v>
      </c>
      <c r="F16" s="64">
        <v>623.64701489999993</v>
      </c>
      <c r="G16" s="184">
        <f>+F16/C16</f>
        <v>0.20278994442689896</v>
      </c>
      <c r="H16" s="64">
        <v>0</v>
      </c>
      <c r="I16" s="184">
        <f>+H16/C16</f>
        <v>0</v>
      </c>
    </row>
    <row r="17" spans="2:9" s="83" customFormat="1" ht="13.5" customHeight="1" x14ac:dyDescent="0.25">
      <c r="B17" s="188" t="s">
        <v>392</v>
      </c>
      <c r="C17" s="189">
        <v>1445.0215515</v>
      </c>
      <c r="D17" s="189">
        <v>1064.4189100000001</v>
      </c>
      <c r="E17" s="192">
        <v>0.73661109683456505</v>
      </c>
      <c r="F17" s="189">
        <v>380.6026415</v>
      </c>
      <c r="G17" s="193">
        <v>0.2633889031654349</v>
      </c>
      <c r="H17" s="189">
        <v>0</v>
      </c>
      <c r="I17" s="189"/>
    </row>
    <row r="18" spans="2:9" s="83" customFormat="1" ht="18" customHeight="1" x14ac:dyDescent="0.25">
      <c r="B18" s="188" t="s">
        <v>401</v>
      </c>
      <c r="C18" s="189">
        <v>1015.8082082000001</v>
      </c>
      <c r="D18" s="189">
        <v>823.90649440000004</v>
      </c>
      <c r="E18" s="192">
        <v>0.81108469861643717</v>
      </c>
      <c r="F18" s="189">
        <v>191.90171380000001</v>
      </c>
      <c r="G18" s="193">
        <v>0.18891530138356288</v>
      </c>
      <c r="H18" s="189">
        <v>0</v>
      </c>
      <c r="I18" s="189"/>
    </row>
    <row r="19" spans="2:9" s="83" customFormat="1" ht="18" customHeight="1" x14ac:dyDescent="0.25">
      <c r="B19" s="188" t="s">
        <v>14</v>
      </c>
      <c r="C19" s="189">
        <v>614.50524600000006</v>
      </c>
      <c r="D19" s="189">
        <v>563.36258639999994</v>
      </c>
      <c r="E19" s="192">
        <v>0.91677425061396456</v>
      </c>
      <c r="F19" s="189">
        <v>51.142659599999995</v>
      </c>
      <c r="G19" s="193">
        <v>8.3225749386035344E-2</v>
      </c>
      <c r="H19" s="189">
        <v>0</v>
      </c>
      <c r="I19" s="189"/>
    </row>
    <row r="20" spans="2:9" s="89" customFormat="1" ht="15.75" customHeight="1" x14ac:dyDescent="0.25">
      <c r="B20" s="8" t="s">
        <v>213</v>
      </c>
      <c r="C20" s="64">
        <v>3688.2492933999997</v>
      </c>
      <c r="D20" s="64">
        <v>2284.0284776399999</v>
      </c>
      <c r="E20" s="184">
        <f>+D20/C20</f>
        <v>0.61927171835352712</v>
      </c>
      <c r="F20" s="64">
        <v>1119.429466955</v>
      </c>
      <c r="G20" s="184">
        <f>+F20/C20</f>
        <v>0.3035124195531419</v>
      </c>
      <c r="H20" s="64">
        <v>284.79134880499998</v>
      </c>
      <c r="I20" s="184">
        <f>+H20/C20</f>
        <v>7.7215862093331034E-2</v>
      </c>
    </row>
    <row r="21" spans="2:9" s="83" customFormat="1" ht="18" customHeight="1" x14ac:dyDescent="0.25">
      <c r="B21" s="188" t="s">
        <v>15</v>
      </c>
      <c r="C21" s="189">
        <v>2291.4592743999997</v>
      </c>
      <c r="D21" s="189">
        <v>1549.65938274</v>
      </c>
      <c r="E21" s="190">
        <v>0.67627620532150456</v>
      </c>
      <c r="F21" s="189">
        <v>592.19078408000007</v>
      </c>
      <c r="G21" s="190">
        <v>0.25843391182898529</v>
      </c>
      <c r="H21" s="189">
        <v>149.60910758</v>
      </c>
      <c r="I21" s="190">
        <v>6.5289882849510372E-2</v>
      </c>
    </row>
    <row r="22" spans="2:9" ht="17.25" customHeight="1" x14ac:dyDescent="0.2">
      <c r="B22" s="188" t="s">
        <v>16</v>
      </c>
      <c r="C22" s="189">
        <v>1396.790019</v>
      </c>
      <c r="D22" s="189">
        <v>734.36909489999994</v>
      </c>
      <c r="E22" s="190">
        <v>0.52575482707540733</v>
      </c>
      <c r="F22" s="189">
        <v>527.23868287499999</v>
      </c>
      <c r="G22" s="190">
        <v>0.37746452630901856</v>
      </c>
      <c r="H22" s="189">
        <v>135.18224122499998</v>
      </c>
      <c r="I22" s="190">
        <v>9.6780646615574076E-2</v>
      </c>
    </row>
    <row r="23" spans="2:9" s="89" customFormat="1" ht="15.75" customHeight="1" x14ac:dyDescent="0.25">
      <c r="B23" s="8" t="s">
        <v>17</v>
      </c>
      <c r="C23" s="64">
        <v>2408.4142535999999</v>
      </c>
      <c r="D23" s="64">
        <v>1437.5722554000001</v>
      </c>
      <c r="E23" s="184">
        <f>+D23/C23</f>
        <v>0.59689575962738783</v>
      </c>
      <c r="F23" s="64">
        <v>886.8944583199999</v>
      </c>
      <c r="G23" s="184">
        <f>+F23/C23</f>
        <v>0.36824830155124105</v>
      </c>
      <c r="H23" s="64">
        <v>83.947539879999994</v>
      </c>
      <c r="I23" s="64"/>
    </row>
    <row r="24" spans="2:9" s="83" customFormat="1" ht="15.75" customHeight="1" x14ac:dyDescent="0.25">
      <c r="B24" s="188" t="s">
        <v>18</v>
      </c>
      <c r="C24" s="189">
        <v>729.62147759999993</v>
      </c>
      <c r="D24" s="189">
        <v>547.21610819999989</v>
      </c>
      <c r="E24" s="193">
        <v>0.75</v>
      </c>
      <c r="F24" s="189">
        <v>145.92429551999999</v>
      </c>
      <c r="G24" s="193">
        <v>0.2</v>
      </c>
      <c r="H24" s="189">
        <v>36.481073879999997</v>
      </c>
      <c r="I24" s="193">
        <v>0.05</v>
      </c>
    </row>
    <row r="25" spans="2:9" ht="23.25" customHeight="1" x14ac:dyDescent="0.2">
      <c r="B25" s="188" t="s">
        <v>19</v>
      </c>
      <c r="C25" s="189">
        <v>1678.792776</v>
      </c>
      <c r="D25" s="189">
        <v>890.35614720000001</v>
      </c>
      <c r="E25" s="193">
        <v>0.53035500267127667</v>
      </c>
      <c r="F25" s="189">
        <v>740.97016279999991</v>
      </c>
      <c r="G25" s="193">
        <v>0.44137083110726938</v>
      </c>
      <c r="H25" s="189">
        <v>47.466465999999997</v>
      </c>
      <c r="I25" s="193">
        <v>2.8274166221453886E-2</v>
      </c>
    </row>
    <row r="26" spans="2:9" s="89" customFormat="1" ht="15" customHeight="1" x14ac:dyDescent="0.25">
      <c r="B26" s="8" t="s">
        <v>20</v>
      </c>
      <c r="C26" s="64">
        <v>3842.6938442999995</v>
      </c>
      <c r="D26" s="64">
        <v>2538.1561895699997</v>
      </c>
      <c r="E26" s="184">
        <f>+D26/C26</f>
        <v>0.66051480872850032</v>
      </c>
      <c r="F26" s="64">
        <v>1244.0150087299999</v>
      </c>
      <c r="G26" s="184">
        <f>+F26/C26</f>
        <v>0.32373513455288411</v>
      </c>
      <c r="H26" s="64">
        <v>60.522646000000002</v>
      </c>
      <c r="I26" s="184">
        <f>+H26/C26</f>
        <v>1.5750056718615596E-2</v>
      </c>
    </row>
    <row r="27" spans="2:9" s="83" customFormat="1" ht="24" x14ac:dyDescent="0.25">
      <c r="B27" s="188" t="s">
        <v>21</v>
      </c>
      <c r="C27" s="189">
        <v>1917.2601643999999</v>
      </c>
      <c r="D27" s="189">
        <v>1342.0821150799998</v>
      </c>
      <c r="E27" s="193">
        <v>0.69999999999999984</v>
      </c>
      <c r="F27" s="189">
        <v>542.24258539999983</v>
      </c>
      <c r="G27" s="193">
        <v>0.28282159900281079</v>
      </c>
      <c r="H27" s="189">
        <v>32.935463920000004</v>
      </c>
      <c r="I27" s="193">
        <v>1.7178400997189154E-2</v>
      </c>
    </row>
    <row r="28" spans="2:9" x14ac:dyDescent="0.2">
      <c r="B28" s="188" t="s">
        <v>22</v>
      </c>
      <c r="C28" s="189">
        <v>1925.4336798999996</v>
      </c>
      <c r="D28" s="189">
        <v>1196.0740744899997</v>
      </c>
      <c r="E28" s="193">
        <v>0.62119723310964403</v>
      </c>
      <c r="F28" s="189">
        <v>701.77242332999992</v>
      </c>
      <c r="G28" s="193">
        <v>0.36447499109210946</v>
      </c>
      <c r="H28" s="189">
        <v>27.587182079999998</v>
      </c>
      <c r="I28" s="193">
        <v>1.4327775798246544E-2</v>
      </c>
    </row>
    <row r="29" spans="2:9" s="88" customFormat="1" ht="16.5" customHeight="1" x14ac:dyDescent="0.2">
      <c r="B29" s="8" t="s">
        <v>23</v>
      </c>
      <c r="C29" s="64">
        <v>2056.2557240000001</v>
      </c>
      <c r="D29" s="64">
        <v>1367.1503429299999</v>
      </c>
      <c r="E29" s="184">
        <f>+D29/C29</f>
        <v>0.664873695899314</v>
      </c>
      <c r="F29" s="64">
        <v>613.53664947000004</v>
      </c>
      <c r="G29" s="184">
        <f>+F29/C29</f>
        <v>0.29837565547367689</v>
      </c>
      <c r="H29" s="64">
        <v>75.568731599999992</v>
      </c>
      <c r="I29" s="184">
        <f>+H29/C29</f>
        <v>3.6750648627008997E-2</v>
      </c>
    </row>
    <row r="30" spans="2:9" ht="15.75" customHeight="1" x14ac:dyDescent="0.2">
      <c r="B30" s="188" t="s">
        <v>24</v>
      </c>
      <c r="C30" s="189">
        <v>862.46418000000006</v>
      </c>
      <c r="D30" s="189">
        <v>705.57874004999996</v>
      </c>
      <c r="E30" s="193">
        <v>0.81809628319868299</v>
      </c>
      <c r="F30" s="189">
        <v>156.88543995000001</v>
      </c>
      <c r="G30" s="193">
        <v>0.18190371680131692</v>
      </c>
      <c r="H30" s="189">
        <v>0</v>
      </c>
      <c r="I30" s="189"/>
    </row>
    <row r="31" spans="2:9" ht="17.25" customHeight="1" x14ac:dyDescent="0.2">
      <c r="B31" s="188" t="s">
        <v>25</v>
      </c>
      <c r="C31" s="189">
        <v>1193.7915439999999</v>
      </c>
      <c r="D31" s="189">
        <v>661.57160287999989</v>
      </c>
      <c r="E31" s="193">
        <v>0.55417682107488597</v>
      </c>
      <c r="F31" s="189">
        <v>456.65120952000001</v>
      </c>
      <c r="G31" s="193">
        <v>0.3825217323871411</v>
      </c>
      <c r="H31" s="189">
        <v>75.568731599999992</v>
      </c>
      <c r="I31" s="193">
        <v>6.3301446537972789E-2</v>
      </c>
    </row>
    <row r="32" spans="2:9" s="88" customFormat="1" ht="14.25" customHeight="1" x14ac:dyDescent="0.2">
      <c r="B32" s="8" t="s">
        <v>26</v>
      </c>
      <c r="C32" s="64">
        <v>2017.6202370000001</v>
      </c>
      <c r="D32" s="64">
        <v>1704.0002367000002</v>
      </c>
      <c r="E32" s="184">
        <f>+D32/C32</f>
        <v>0.84455944951943906</v>
      </c>
      <c r="F32" s="64">
        <v>266.16173310000005</v>
      </c>
      <c r="G32" s="184">
        <f>+F32/C32</f>
        <v>0.13191864763200234</v>
      </c>
      <c r="H32" s="64">
        <v>47.458267200000002</v>
      </c>
      <c r="I32" s="184">
        <f>+H32/C32</f>
        <v>2.352190284855871E-2</v>
      </c>
    </row>
    <row r="33" spans="2:9" ht="17.25" customHeight="1" x14ac:dyDescent="0.2">
      <c r="B33" s="188" t="s">
        <v>27</v>
      </c>
      <c r="C33" s="189">
        <v>1644.178539</v>
      </c>
      <c r="D33" s="189">
        <v>1415.3901411000002</v>
      </c>
      <c r="E33" s="193">
        <v>0.8608494196505263</v>
      </c>
      <c r="F33" s="189">
        <v>191.47339349999999</v>
      </c>
      <c r="G33" s="193">
        <v>0.11645535381848211</v>
      </c>
      <c r="H33" s="189">
        <v>37.315004400000007</v>
      </c>
      <c r="I33" s="193">
        <v>2.2695226530991722E-2</v>
      </c>
    </row>
    <row r="34" spans="2:9" ht="17.25" customHeight="1" x14ac:dyDescent="0.2">
      <c r="B34" s="188" t="s">
        <v>28</v>
      </c>
      <c r="C34" s="189">
        <v>373.44169799999997</v>
      </c>
      <c r="D34" s="189">
        <v>288.61009560000002</v>
      </c>
      <c r="E34" s="193">
        <v>0.77283843005662434</v>
      </c>
      <c r="F34" s="189">
        <v>74.688339600000006</v>
      </c>
      <c r="G34" s="193">
        <v>0.2</v>
      </c>
      <c r="H34" s="189">
        <v>10.1432628</v>
      </c>
      <c r="I34" s="193">
        <v>2.7161569943375742E-2</v>
      </c>
    </row>
    <row r="35" spans="2:9" s="88" customFormat="1" ht="15.75" customHeight="1" x14ac:dyDescent="0.2">
      <c r="B35" s="8" t="s">
        <v>29</v>
      </c>
      <c r="C35" s="64">
        <v>2731.5530520000002</v>
      </c>
      <c r="D35" s="64">
        <v>1047.1536803500001</v>
      </c>
      <c r="E35" s="184">
        <f>+D35/C35</f>
        <v>0.38335469251944077</v>
      </c>
      <c r="F35" s="64">
        <v>625.66251442000009</v>
      </c>
      <c r="G35" s="184">
        <f>+F35/C35</f>
        <v>0.22905010538305301</v>
      </c>
      <c r="H35" s="64">
        <v>1058.7368572299999</v>
      </c>
      <c r="I35" s="184">
        <f>+H35/C35</f>
        <v>0.3875952020975062</v>
      </c>
    </row>
    <row r="36" spans="2:9" ht="17.25" customHeight="1" x14ac:dyDescent="0.2">
      <c r="B36" s="188" t="s">
        <v>30</v>
      </c>
      <c r="C36" s="189">
        <v>903.78206</v>
      </c>
      <c r="D36" s="189">
        <v>114.37820600000001</v>
      </c>
      <c r="E36" s="190">
        <v>0.12655507457184978</v>
      </c>
      <c r="F36" s="189">
        <v>48</v>
      </c>
      <c r="G36" s="190">
        <v>5.3110149143699534E-2</v>
      </c>
      <c r="H36" s="189">
        <v>741.40385400000002</v>
      </c>
      <c r="I36" s="190">
        <v>0.82033477628445073</v>
      </c>
    </row>
    <row r="37" spans="2:9" x14ac:dyDescent="0.2">
      <c r="B37" s="188" t="s">
        <v>31</v>
      </c>
      <c r="C37" s="189">
        <v>939.85343410000007</v>
      </c>
      <c r="D37" s="189">
        <v>313.64032215000003</v>
      </c>
      <c r="E37" s="190">
        <v>0.33371194993859948</v>
      </c>
      <c r="F37" s="189">
        <v>433.58103999999997</v>
      </c>
      <c r="G37" s="190">
        <v>0.46132835638909542</v>
      </c>
      <c r="H37" s="189">
        <v>192.63207195000001</v>
      </c>
      <c r="I37" s="190">
        <v>0.20495969367230513</v>
      </c>
    </row>
    <row r="38" spans="2:9" ht="16.5" customHeight="1" x14ac:dyDescent="0.2">
      <c r="B38" s="188" t="s">
        <v>32</v>
      </c>
      <c r="C38" s="189">
        <v>486.66404649999998</v>
      </c>
      <c r="D38" s="189">
        <v>354.25515528</v>
      </c>
      <c r="E38" s="190">
        <v>0.72792547102614036</v>
      </c>
      <c r="F38" s="189">
        <v>132.40889121999999</v>
      </c>
      <c r="G38" s="190">
        <v>0.27207452897385959</v>
      </c>
      <c r="H38" s="189">
        <v>0</v>
      </c>
      <c r="I38" s="189"/>
    </row>
    <row r="39" spans="2:9" s="83" customFormat="1" ht="17.25" customHeight="1" x14ac:dyDescent="0.25">
      <c r="B39" s="188" t="s">
        <v>33</v>
      </c>
      <c r="C39" s="189">
        <v>401.25351140000004</v>
      </c>
      <c r="D39" s="189">
        <v>264.87999692</v>
      </c>
      <c r="E39" s="190">
        <v>0.66013128706541702</v>
      </c>
      <c r="F39" s="189">
        <v>11.672583200000002</v>
      </c>
      <c r="G39" s="190">
        <v>2.9090295457536525E-2</v>
      </c>
      <c r="H39" s="189">
        <v>124.70093128000001</v>
      </c>
      <c r="I39" s="190">
        <v>0.31077841747704638</v>
      </c>
    </row>
    <row r="40" spans="2:9" ht="17.25" customHeight="1" x14ac:dyDescent="0.2">
      <c r="B40" s="11" t="s">
        <v>35</v>
      </c>
      <c r="C40" s="86">
        <v>35801.749998800005</v>
      </c>
      <c r="D40" s="86">
        <v>24807.360641714997</v>
      </c>
      <c r="E40" s="186">
        <v>0.69290916345001252</v>
      </c>
      <c r="F40" s="86">
        <v>8431.6437047649997</v>
      </c>
      <c r="G40" s="186">
        <v>0.2355092615597732</v>
      </c>
      <c r="H40" s="86">
        <v>2562.7456523199999</v>
      </c>
      <c r="I40" s="186">
        <v>7.1581574990214086E-2</v>
      </c>
    </row>
    <row r="41" spans="2:9" x14ac:dyDescent="0.2">
      <c r="C41" s="173"/>
    </row>
    <row r="44" spans="2:9" x14ac:dyDescent="0.2">
      <c r="F44" s="149"/>
    </row>
    <row r="45" spans="2:9" x14ac:dyDescent="0.2">
      <c r="C45" s="173"/>
    </row>
  </sheetData>
  <mergeCells count="1">
    <mergeCell ref="B4:I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X71"/>
  <sheetViews>
    <sheetView zoomScaleNormal="100" workbookViewId="0">
      <selection activeCell="E22" sqref="E22"/>
    </sheetView>
  </sheetViews>
  <sheetFormatPr baseColWidth="10" defaultRowHeight="15" x14ac:dyDescent="0.25"/>
  <cols>
    <col min="1" max="1" width="3.5703125" style="1" customWidth="1"/>
    <col min="2" max="2" width="45.7109375" style="1" customWidth="1"/>
    <col min="3" max="4" width="17.140625" style="1" customWidth="1"/>
    <col min="5" max="6" width="13.7109375" style="1" bestFit="1" customWidth="1"/>
    <col min="7" max="7" width="13.85546875" style="1" bestFit="1" customWidth="1"/>
    <col min="8" max="16" width="13.7109375" style="1" bestFit="1" customWidth="1"/>
    <col min="17" max="22" width="12.28515625" style="1" bestFit="1" customWidth="1"/>
    <col min="23" max="23" width="17"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detallado'!B6</f>
        <v>1.1. Mejora de la productividad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59.25" customHeight="1" x14ac:dyDescent="0.25">
      <c r="B8" s="18" t="str">
        <f>+'Presupuesto detallado'!B7</f>
        <v xml:space="preserve"> 1.1.1. Generación de un marco de referencia de una estructura de costos competitiva, de manera articulada, diferenciada por regiones arroceras</v>
      </c>
      <c r="C8" s="215" t="s">
        <v>159</v>
      </c>
      <c r="D8" s="53"/>
      <c r="E8" s="53"/>
      <c r="F8" s="53">
        <f>+$H$27</f>
        <v>266419565.5</v>
      </c>
      <c r="G8" s="53">
        <f t="shared" ref="G8:V8" si="0">+$H$27</f>
        <v>266419565.5</v>
      </c>
      <c r="H8" s="53">
        <f t="shared" si="0"/>
        <v>266419565.5</v>
      </c>
      <c r="I8" s="53">
        <f t="shared" si="0"/>
        <v>266419565.5</v>
      </c>
      <c r="J8" s="53">
        <f t="shared" si="0"/>
        <v>266419565.5</v>
      </c>
      <c r="K8" s="53">
        <f t="shared" si="0"/>
        <v>266419565.5</v>
      </c>
      <c r="L8" s="53">
        <f t="shared" si="0"/>
        <v>266419565.5</v>
      </c>
      <c r="M8" s="53">
        <f t="shared" si="0"/>
        <v>266419565.5</v>
      </c>
      <c r="N8" s="53">
        <f t="shared" si="0"/>
        <v>266419565.5</v>
      </c>
      <c r="O8" s="53">
        <f t="shared" si="0"/>
        <v>266419565.5</v>
      </c>
      <c r="P8" s="53">
        <f t="shared" si="0"/>
        <v>266419565.5</v>
      </c>
      <c r="Q8" s="53">
        <f t="shared" si="0"/>
        <v>266419565.5</v>
      </c>
      <c r="R8" s="53">
        <f t="shared" si="0"/>
        <v>266419565.5</v>
      </c>
      <c r="S8" s="53">
        <f t="shared" si="0"/>
        <v>266419565.5</v>
      </c>
      <c r="T8" s="53">
        <f t="shared" si="0"/>
        <v>266419565.5</v>
      </c>
      <c r="U8" s="53">
        <f t="shared" si="0"/>
        <v>266419565.5</v>
      </c>
      <c r="V8" s="53">
        <f t="shared" si="0"/>
        <v>266419565.5</v>
      </c>
      <c r="W8" s="53">
        <f>SUM(D8:V8)</f>
        <v>4529132613.5</v>
      </c>
    </row>
    <row r="9" spans="2:24" ht="39.75" customHeight="1" x14ac:dyDescent="0.25">
      <c r="B9" s="18" t="str">
        <f>+'Presupuesto detallado'!B8</f>
        <v>1.1.2. Planificación de las áreas de siembra de arroz requeridas para garantizar la rentabilidad del sistema productivo (área mínima rentable)</v>
      </c>
      <c r="C9" s="19" t="s">
        <v>97</v>
      </c>
      <c r="D9" s="53"/>
      <c r="E9" s="53">
        <f>+$H$38</f>
        <v>2550918780.6999998</v>
      </c>
      <c r="F9" s="53">
        <f t="shared" ref="F9:P9" si="1">+$H$38</f>
        <v>2550918780.6999998</v>
      </c>
      <c r="G9" s="53">
        <f t="shared" si="1"/>
        <v>2550918780.6999998</v>
      </c>
      <c r="H9" s="53">
        <f t="shared" si="1"/>
        <v>2550918780.6999998</v>
      </c>
      <c r="I9" s="53">
        <f t="shared" si="1"/>
        <v>2550918780.6999998</v>
      </c>
      <c r="J9" s="53">
        <f t="shared" si="1"/>
        <v>2550918780.6999998</v>
      </c>
      <c r="K9" s="53">
        <f t="shared" si="1"/>
        <v>2550918780.6999998</v>
      </c>
      <c r="L9" s="53">
        <f t="shared" si="1"/>
        <v>2550918780.6999998</v>
      </c>
      <c r="M9" s="53">
        <f t="shared" si="1"/>
        <v>2550918780.6999998</v>
      </c>
      <c r="N9" s="53">
        <f t="shared" si="1"/>
        <v>2550918780.6999998</v>
      </c>
      <c r="O9" s="53">
        <f t="shared" si="1"/>
        <v>2550918780.6999998</v>
      </c>
      <c r="P9" s="53">
        <f t="shared" si="1"/>
        <v>2550918780.6999998</v>
      </c>
      <c r="Q9" s="53"/>
      <c r="R9" s="53"/>
      <c r="S9" s="53"/>
      <c r="T9" s="53"/>
      <c r="U9" s="53"/>
      <c r="W9" s="53">
        <f>SUM(D9:V9)</f>
        <v>30611025368.400005</v>
      </c>
    </row>
    <row r="10" spans="2:24" ht="57" customHeight="1" x14ac:dyDescent="0.25">
      <c r="B10" s="18" t="str">
        <f>+'Presupuesto detallado'!B9</f>
        <v>1.1.3. Desarrollo de una estrategia que promueva acciones orientadas a la disminución de los costos de producción, priorizando los rubros tierra, insumos (precios y cantidades usadas), agua, entre otros</v>
      </c>
      <c r="C10" s="19" t="s">
        <v>150</v>
      </c>
      <c r="D10" s="53"/>
      <c r="E10" s="53"/>
      <c r="F10" s="53"/>
      <c r="G10" s="53">
        <f>+H47</f>
        <v>224170699.5</v>
      </c>
      <c r="H10" s="53">
        <f>+H47</f>
        <v>224170699.5</v>
      </c>
      <c r="I10" s="53">
        <f>+H47</f>
        <v>224170699.5</v>
      </c>
      <c r="J10" s="53" t="str">
        <f t="shared" ref="J10:V10" si="2">+$H$46</f>
        <v>Presupuesto relativo</v>
      </c>
      <c r="K10" s="53" t="str">
        <f t="shared" si="2"/>
        <v>Presupuesto relativo</v>
      </c>
      <c r="L10" s="53" t="str">
        <f t="shared" si="2"/>
        <v>Presupuesto relativo</v>
      </c>
      <c r="M10" s="53" t="str">
        <f t="shared" si="2"/>
        <v>Presupuesto relativo</v>
      </c>
      <c r="N10" s="53" t="str">
        <f t="shared" si="2"/>
        <v>Presupuesto relativo</v>
      </c>
      <c r="O10" s="53" t="str">
        <f t="shared" si="2"/>
        <v>Presupuesto relativo</v>
      </c>
      <c r="P10" s="53" t="str">
        <f t="shared" si="2"/>
        <v>Presupuesto relativo</v>
      </c>
      <c r="Q10" s="53" t="str">
        <f t="shared" si="2"/>
        <v>Presupuesto relativo</v>
      </c>
      <c r="R10" s="53" t="str">
        <f t="shared" si="2"/>
        <v>Presupuesto relativo</v>
      </c>
      <c r="S10" s="53" t="str">
        <f t="shared" si="2"/>
        <v>Presupuesto relativo</v>
      </c>
      <c r="T10" s="53" t="str">
        <f t="shared" si="2"/>
        <v>Presupuesto relativo</v>
      </c>
      <c r="U10" s="53" t="str">
        <f t="shared" si="2"/>
        <v>Presupuesto relativo</v>
      </c>
      <c r="V10" s="53" t="str">
        <f t="shared" si="2"/>
        <v>Presupuesto relativo</v>
      </c>
      <c r="W10" s="53">
        <f>SUM(D10:V10)</f>
        <v>672512098.5</v>
      </c>
    </row>
    <row r="11" spans="2:24" ht="39.75" customHeight="1" x14ac:dyDescent="0.25">
      <c r="B11" s="18" t="str">
        <f>+'Presupuesto detallado'!B10</f>
        <v>1.1.4. Desarrollo de una estrategia para el aumento de los rendimientos promedios nacionales, diferenciada por regiones y sistemas de producción</v>
      </c>
      <c r="C11" s="19" t="s">
        <v>150</v>
      </c>
      <c r="D11" s="53"/>
      <c r="E11" s="53"/>
      <c r="F11" s="53"/>
      <c r="G11" s="53">
        <f>+H61</f>
        <v>412138166.5</v>
      </c>
      <c r="H11" s="53">
        <f>+H61</f>
        <v>412138166.5</v>
      </c>
      <c r="I11" s="53">
        <f>+H61</f>
        <v>412138166.5</v>
      </c>
      <c r="J11" s="53" t="str">
        <f t="shared" ref="J11:V11" si="3">+$H$60</f>
        <v>Presupuesto relativo</v>
      </c>
      <c r="K11" s="53" t="str">
        <f t="shared" si="3"/>
        <v>Presupuesto relativo</v>
      </c>
      <c r="L11" s="53" t="str">
        <f t="shared" si="3"/>
        <v>Presupuesto relativo</v>
      </c>
      <c r="M11" s="53" t="str">
        <f t="shared" si="3"/>
        <v>Presupuesto relativo</v>
      </c>
      <c r="N11" s="53" t="str">
        <f t="shared" si="3"/>
        <v>Presupuesto relativo</v>
      </c>
      <c r="O11" s="53" t="str">
        <f t="shared" si="3"/>
        <v>Presupuesto relativo</v>
      </c>
      <c r="P11" s="53" t="str">
        <f t="shared" si="3"/>
        <v>Presupuesto relativo</v>
      </c>
      <c r="Q11" s="53" t="str">
        <f t="shared" si="3"/>
        <v>Presupuesto relativo</v>
      </c>
      <c r="R11" s="53" t="str">
        <f t="shared" si="3"/>
        <v>Presupuesto relativo</v>
      </c>
      <c r="S11" s="53" t="str">
        <f t="shared" si="3"/>
        <v>Presupuesto relativo</v>
      </c>
      <c r="T11" s="53" t="str">
        <f t="shared" si="3"/>
        <v>Presupuesto relativo</v>
      </c>
      <c r="U11" s="53" t="str">
        <f t="shared" si="3"/>
        <v>Presupuesto relativo</v>
      </c>
      <c r="V11" s="53" t="str">
        <f t="shared" si="3"/>
        <v>Presupuesto relativo</v>
      </c>
      <c r="W11" s="53">
        <f>SUM(D11:V11)</f>
        <v>1236414499.5</v>
      </c>
    </row>
    <row r="12" spans="2:24" ht="57" customHeight="1" x14ac:dyDescent="0.25">
      <c r="B12" s="18" t="str">
        <f>+'Presupuesto detallado'!B11</f>
        <v>1.1.5. Identificación e implementación de alternativas de reconversión productiva, según las necesidades de los sistemas productivos del arroz y acorde con las particularidades de cada una de las regiones arroceras</v>
      </c>
      <c r="C12" s="19" t="s">
        <v>329</v>
      </c>
      <c r="D12" s="53"/>
      <c r="E12" s="53"/>
      <c r="F12" s="53">
        <f>+H69</f>
        <v>27172209.899999999</v>
      </c>
      <c r="G12" s="53">
        <f>+H69</f>
        <v>27172209.899999999</v>
      </c>
      <c r="H12" s="53" t="str">
        <f>+H68</f>
        <v>Presupuesto relativo</v>
      </c>
      <c r="I12" s="53" t="str">
        <f>+H68</f>
        <v>Presupuesto relativo</v>
      </c>
      <c r="J12" s="53" t="str">
        <f>+H68</f>
        <v>Presupuesto relativo</v>
      </c>
      <c r="K12" s="53" t="str">
        <f>+H68</f>
        <v>Presupuesto relativo</v>
      </c>
      <c r="L12" s="53" t="str">
        <f>+H68</f>
        <v>Presupuesto relativo</v>
      </c>
      <c r="M12" s="53" t="str">
        <f>+H68</f>
        <v>Presupuesto relativo</v>
      </c>
      <c r="N12" s="53" t="str">
        <f>+H68</f>
        <v>Presupuesto relativo</v>
      </c>
      <c r="O12" s="53" t="str">
        <f>+H68</f>
        <v>Presupuesto relativo</v>
      </c>
      <c r="P12" s="53" t="str">
        <f>+H68</f>
        <v>Presupuesto relativo</v>
      </c>
      <c r="Q12" s="53" t="str">
        <f>+H68</f>
        <v>Presupuesto relativo</v>
      </c>
      <c r="R12" s="53" t="str">
        <f>+H68</f>
        <v>Presupuesto relativo</v>
      </c>
      <c r="S12" s="53" t="str">
        <f>+H68</f>
        <v>Presupuesto relativo</v>
      </c>
      <c r="T12" s="53"/>
      <c r="U12" s="53"/>
      <c r="V12" s="53"/>
      <c r="W12" s="53">
        <f>SUM(D12:V12)</f>
        <v>54344419.799999997</v>
      </c>
    </row>
    <row r="13" spans="2:24" x14ac:dyDescent="0.25">
      <c r="B13" s="100"/>
      <c r="C13" s="101"/>
      <c r="V13" s="11" t="s">
        <v>209</v>
      </c>
      <c r="W13" s="150">
        <f>SUM(W8:W12)</f>
        <v>37103428999.700012</v>
      </c>
    </row>
    <row r="14" spans="2:24" x14ac:dyDescent="0.25">
      <c r="B14" s="5"/>
      <c r="C14" s="5"/>
      <c r="D14" s="5"/>
      <c r="E14" s="5"/>
      <c r="F14" s="5"/>
      <c r="G14" s="5"/>
      <c r="H14" s="5"/>
      <c r="W14" s="150">
        <f>+'Presupuesto detallado'!V6</f>
        <v>37103428999.700012</v>
      </c>
    </row>
    <row r="15" spans="2:24" x14ac:dyDescent="0.25">
      <c r="B15" s="13" t="s">
        <v>219</v>
      </c>
      <c r="C15" s="13" t="s">
        <v>40</v>
      </c>
      <c r="D15" s="13" t="s">
        <v>41</v>
      </c>
      <c r="E15" s="13" t="s">
        <v>42</v>
      </c>
      <c r="F15" s="13" t="s">
        <v>554</v>
      </c>
      <c r="G15" s="13" t="s">
        <v>43</v>
      </c>
      <c r="H15" s="13" t="s">
        <v>44</v>
      </c>
      <c r="W15" s="201">
        <f>+W13-W14</f>
        <v>0</v>
      </c>
    </row>
    <row r="16" spans="2:24" x14ac:dyDescent="0.25">
      <c r="B16" s="14" t="s">
        <v>599</v>
      </c>
      <c r="C16" s="14">
        <v>1</v>
      </c>
      <c r="D16" s="21" t="s">
        <v>100</v>
      </c>
      <c r="E16" s="49">
        <f>+Parámetros!D10</f>
        <v>14456289</v>
      </c>
      <c r="F16" s="118">
        <v>0.2</v>
      </c>
      <c r="G16" s="23">
        <v>11</v>
      </c>
      <c r="H16" s="57">
        <f>+C16*E16*G16*F16</f>
        <v>31803835.800000001</v>
      </c>
    </row>
    <row r="17" spans="2:8" x14ac:dyDescent="0.25">
      <c r="B17" s="14" t="s">
        <v>557</v>
      </c>
      <c r="C17" s="21">
        <v>1</v>
      </c>
      <c r="D17" s="14" t="s">
        <v>100</v>
      </c>
      <c r="E17" s="49">
        <f>+Parámetros!D11</f>
        <v>11508889</v>
      </c>
      <c r="F17" s="118">
        <v>0.3</v>
      </c>
      <c r="G17" s="23">
        <v>11</v>
      </c>
      <c r="H17" s="57">
        <f>+C17*E17*G17*F17</f>
        <v>37979333.699999996</v>
      </c>
    </row>
    <row r="18" spans="2:8" x14ac:dyDescent="0.25">
      <c r="B18" s="56" t="s">
        <v>570</v>
      </c>
      <c r="C18" s="21">
        <v>4</v>
      </c>
      <c r="D18" s="14" t="s">
        <v>100</v>
      </c>
      <c r="E18" s="49">
        <f>+Parámetros!D16</f>
        <v>5894797</v>
      </c>
      <c r="F18" s="118">
        <v>0.5</v>
      </c>
      <c r="G18" s="23">
        <v>6</v>
      </c>
      <c r="H18" s="57">
        <f>+C18*E18*G18*F18</f>
        <v>70737564</v>
      </c>
    </row>
    <row r="19" spans="2:8" x14ac:dyDescent="0.25">
      <c r="B19" s="14" t="s">
        <v>114</v>
      </c>
      <c r="C19" s="21">
        <v>1</v>
      </c>
      <c r="D19" s="14" t="s">
        <v>100</v>
      </c>
      <c r="E19" s="49">
        <f>+Parámetros!D14</f>
        <v>7017615</v>
      </c>
      <c r="F19" s="49"/>
      <c r="G19" s="23">
        <v>9</v>
      </c>
      <c r="H19" s="57">
        <f>+C19*E19*G19</f>
        <v>63158535</v>
      </c>
    </row>
    <row r="20" spans="2:8" x14ac:dyDescent="0.25">
      <c r="B20" s="56" t="s">
        <v>138</v>
      </c>
      <c r="C20" s="55">
        <v>2</v>
      </c>
      <c r="D20" s="54" t="s">
        <v>110</v>
      </c>
      <c r="E20" s="49">
        <f>+Parámetros!F21</f>
        <v>2329540.5</v>
      </c>
      <c r="F20" s="118"/>
      <c r="G20" s="23"/>
      <c r="H20" s="57">
        <f t="shared" ref="H20:H26" si="4">+C20*E20</f>
        <v>4659081</v>
      </c>
    </row>
    <row r="21" spans="2:8" x14ac:dyDescent="0.25">
      <c r="B21" s="56" t="s">
        <v>139</v>
      </c>
      <c r="C21" s="55">
        <v>16</v>
      </c>
      <c r="D21" s="54" t="s">
        <v>569</v>
      </c>
      <c r="E21" s="49">
        <f>+Parámetros!F26</f>
        <v>1098191.5</v>
      </c>
      <c r="F21" s="118"/>
      <c r="G21" s="23"/>
      <c r="H21" s="57">
        <f t="shared" si="4"/>
        <v>17571064</v>
      </c>
    </row>
    <row r="22" spans="2:8" x14ac:dyDescent="0.25">
      <c r="B22" s="56" t="s">
        <v>108</v>
      </c>
      <c r="C22" s="21">
        <v>8</v>
      </c>
      <c r="D22" s="54" t="s">
        <v>112</v>
      </c>
      <c r="E22" s="49">
        <f>+Parámetros!C32</f>
        <v>1000000</v>
      </c>
      <c r="F22" s="118"/>
      <c r="G22" s="23"/>
      <c r="H22" s="57">
        <f t="shared" si="4"/>
        <v>8000000</v>
      </c>
    </row>
    <row r="23" spans="2:8" x14ac:dyDescent="0.25">
      <c r="B23" s="14" t="s">
        <v>105</v>
      </c>
      <c r="C23" s="21">
        <v>4</v>
      </c>
      <c r="D23" s="14" t="s">
        <v>104</v>
      </c>
      <c r="E23" s="49">
        <v>5000000</v>
      </c>
      <c r="F23" s="118"/>
      <c r="G23" s="23"/>
      <c r="H23" s="57">
        <f t="shared" si="4"/>
        <v>20000000</v>
      </c>
    </row>
    <row r="24" spans="2:8" x14ac:dyDescent="0.25">
      <c r="B24" s="51" t="s">
        <v>106</v>
      </c>
      <c r="C24" s="21">
        <v>2</v>
      </c>
      <c r="D24" s="14" t="s">
        <v>104</v>
      </c>
      <c r="E24" s="49">
        <v>3000000</v>
      </c>
      <c r="F24" s="118"/>
      <c r="G24" s="23"/>
      <c r="H24" s="57">
        <f t="shared" si="4"/>
        <v>6000000</v>
      </c>
    </row>
    <row r="25" spans="2:8" x14ac:dyDescent="0.25">
      <c r="B25" s="14" t="s">
        <v>45</v>
      </c>
      <c r="C25" s="21">
        <v>8</v>
      </c>
      <c r="D25" s="14" t="s">
        <v>115</v>
      </c>
      <c r="E25" s="49">
        <f>+Parámetros!D24</f>
        <v>313769</v>
      </c>
      <c r="F25" s="49"/>
      <c r="G25" s="23"/>
      <c r="H25" s="57">
        <f t="shared" si="4"/>
        <v>2510152</v>
      </c>
    </row>
    <row r="26" spans="2:8" x14ac:dyDescent="0.25">
      <c r="B26" s="14" t="s">
        <v>193</v>
      </c>
      <c r="C26" s="21">
        <v>4</v>
      </c>
      <c r="D26" s="14" t="s">
        <v>194</v>
      </c>
      <c r="E26" s="49">
        <f>+Parámetros!C32</f>
        <v>1000000</v>
      </c>
      <c r="F26" s="49"/>
      <c r="G26" s="23"/>
      <c r="H26" s="57">
        <f t="shared" si="4"/>
        <v>4000000</v>
      </c>
    </row>
    <row r="27" spans="2:8" x14ac:dyDescent="0.25">
      <c r="B27" s="203" t="s">
        <v>107</v>
      </c>
      <c r="C27" s="204"/>
      <c r="D27" s="204"/>
      <c r="E27" s="204"/>
      <c r="F27" s="214"/>
      <c r="G27" s="205"/>
      <c r="H27" s="50">
        <f>SUM(H16:H26)</f>
        <v>266419565.5</v>
      </c>
    </row>
    <row r="28" spans="2:8" ht="37.5" customHeight="1" x14ac:dyDescent="0.25">
      <c r="B28" s="301" t="s">
        <v>571</v>
      </c>
      <c r="C28" s="301"/>
      <c r="D28" s="301"/>
      <c r="E28" s="301"/>
      <c r="F28" s="301"/>
      <c r="G28" s="301"/>
      <c r="H28" s="301"/>
    </row>
    <row r="29" spans="2:8" ht="23.25" customHeight="1" x14ac:dyDescent="0.25">
      <c r="B29" s="154"/>
      <c r="C29" s="154"/>
      <c r="D29" s="154"/>
      <c r="E29" s="154"/>
      <c r="F29" s="154"/>
      <c r="G29" s="154"/>
      <c r="H29" s="5"/>
    </row>
    <row r="30" spans="2:8" x14ac:dyDescent="0.25">
      <c r="B30" s="13" t="s">
        <v>220</v>
      </c>
      <c r="C30" s="13" t="s">
        <v>40</v>
      </c>
      <c r="D30" s="13" t="s">
        <v>41</v>
      </c>
      <c r="E30" s="13" t="s">
        <v>42</v>
      </c>
      <c r="F30" s="13" t="s">
        <v>554</v>
      </c>
      <c r="G30" s="13" t="s">
        <v>43</v>
      </c>
      <c r="H30" s="13" t="s">
        <v>44</v>
      </c>
    </row>
    <row r="31" spans="2:8" x14ac:dyDescent="0.25">
      <c r="B31" s="14" t="s">
        <v>573</v>
      </c>
      <c r="C31" s="14">
        <v>1</v>
      </c>
      <c r="D31" s="21" t="s">
        <v>100</v>
      </c>
      <c r="E31" s="49">
        <f>+Parámetros!D10</f>
        <v>14456289</v>
      </c>
      <c r="F31" s="118">
        <v>0.3</v>
      </c>
      <c r="G31" s="23">
        <v>11</v>
      </c>
      <c r="H31" s="57">
        <f>+C31*E31*G31*F31</f>
        <v>47705753.699999996</v>
      </c>
    </row>
    <row r="32" spans="2:8" x14ac:dyDescent="0.25">
      <c r="B32" s="14" t="s">
        <v>557</v>
      </c>
      <c r="C32" s="21">
        <v>1</v>
      </c>
      <c r="D32" s="14" t="s">
        <v>100</v>
      </c>
      <c r="E32" s="49">
        <f>+Parámetros!D11</f>
        <v>11508889</v>
      </c>
      <c r="F32" s="118">
        <v>1</v>
      </c>
      <c r="G32" s="23">
        <v>11</v>
      </c>
      <c r="H32" s="57">
        <f>+C32*E32*G32*F32</f>
        <v>126597779</v>
      </c>
    </row>
    <row r="33" spans="2:8" x14ac:dyDescent="0.25">
      <c r="B33" s="56" t="s">
        <v>572</v>
      </c>
      <c r="C33" s="21">
        <v>50</v>
      </c>
      <c r="D33" s="14" t="s">
        <v>251</v>
      </c>
      <c r="E33" s="49">
        <f>+Parámetros!D16</f>
        <v>5894797</v>
      </c>
      <c r="F33" s="118"/>
      <c r="G33" s="23">
        <v>8</v>
      </c>
      <c r="H33" s="57">
        <f>+C33*E33*G33</f>
        <v>2357918800</v>
      </c>
    </row>
    <row r="34" spans="2:8" x14ac:dyDescent="0.25">
      <c r="B34" s="56" t="s">
        <v>108</v>
      </c>
      <c r="C34" s="21">
        <v>4</v>
      </c>
      <c r="D34" s="14" t="s">
        <v>187</v>
      </c>
      <c r="E34" s="49">
        <f>+Parámetros!C32</f>
        <v>1000000</v>
      </c>
      <c r="F34" s="118"/>
      <c r="G34" s="23"/>
      <c r="H34" s="57">
        <f>+C34*E34</f>
        <v>4000000</v>
      </c>
    </row>
    <row r="35" spans="2:8" x14ac:dyDescent="0.25">
      <c r="B35" s="56" t="s">
        <v>317</v>
      </c>
      <c r="C35" s="21">
        <v>6</v>
      </c>
      <c r="D35" s="14" t="s">
        <v>115</v>
      </c>
      <c r="E35" s="49">
        <f>+Parámetros!D20</f>
        <v>783825</v>
      </c>
      <c r="F35" s="118"/>
      <c r="G35" s="23"/>
      <c r="H35" s="57">
        <f>+C35*E35</f>
        <v>4702950</v>
      </c>
    </row>
    <row r="36" spans="2:8" x14ac:dyDescent="0.25">
      <c r="B36" s="56" t="s">
        <v>138</v>
      </c>
      <c r="C36" s="21">
        <v>6</v>
      </c>
      <c r="D36" s="14" t="s">
        <v>115</v>
      </c>
      <c r="E36" s="49">
        <f>+Parámetros!D21</f>
        <v>665583</v>
      </c>
      <c r="F36" s="118"/>
      <c r="G36" s="23"/>
      <c r="H36" s="57">
        <f>+C36*E36</f>
        <v>3993498</v>
      </c>
    </row>
    <row r="37" spans="2:8" x14ac:dyDescent="0.25">
      <c r="B37" s="51" t="s">
        <v>106</v>
      </c>
      <c r="C37" s="21">
        <v>2</v>
      </c>
      <c r="D37" s="14" t="s">
        <v>104</v>
      </c>
      <c r="E37" s="49">
        <v>3000000</v>
      </c>
      <c r="F37" s="118"/>
      <c r="G37" s="23"/>
      <c r="H37" s="57">
        <f>+C37*E37</f>
        <v>6000000</v>
      </c>
    </row>
    <row r="38" spans="2:8" x14ac:dyDescent="0.25">
      <c r="B38" s="203" t="s">
        <v>107</v>
      </c>
      <c r="C38" s="204"/>
      <c r="D38" s="204"/>
      <c r="E38" s="204"/>
      <c r="F38" s="204"/>
      <c r="G38" s="205"/>
      <c r="H38" s="50">
        <f>SUM(H31:H37)</f>
        <v>2550918780.6999998</v>
      </c>
    </row>
    <row r="39" spans="2:8" ht="61.5" customHeight="1" x14ac:dyDescent="0.25">
      <c r="B39" s="317" t="s">
        <v>574</v>
      </c>
      <c r="C39" s="317"/>
      <c r="D39" s="317"/>
      <c r="E39" s="317"/>
      <c r="F39" s="317"/>
      <c r="G39" s="317"/>
      <c r="H39" s="317"/>
    </row>
    <row r="40" spans="2:8" x14ac:dyDescent="0.25">
      <c r="B40" s="103"/>
      <c r="C40" s="103"/>
      <c r="D40" s="103"/>
      <c r="E40" s="103"/>
      <c r="F40" s="103"/>
      <c r="G40" s="104"/>
      <c r="H40" s="5"/>
    </row>
    <row r="41" spans="2:8" x14ac:dyDescent="0.25">
      <c r="B41" s="13" t="s">
        <v>222</v>
      </c>
      <c r="C41" s="13" t="s">
        <v>40</v>
      </c>
      <c r="D41" s="13" t="s">
        <v>41</v>
      </c>
      <c r="E41" s="13" t="s">
        <v>42</v>
      </c>
      <c r="F41" s="13" t="s">
        <v>554</v>
      </c>
      <c r="G41" s="13" t="s">
        <v>43</v>
      </c>
      <c r="H41" s="13" t="s">
        <v>44</v>
      </c>
    </row>
    <row r="42" spans="2:8" x14ac:dyDescent="0.25">
      <c r="B42" s="102" t="s">
        <v>221</v>
      </c>
      <c r="C42" s="13"/>
      <c r="D42" s="13"/>
      <c r="E42" s="13"/>
      <c r="F42" s="13"/>
      <c r="G42" s="13"/>
      <c r="H42" s="13"/>
    </row>
    <row r="43" spans="2:8" x14ac:dyDescent="0.25">
      <c r="B43" s="14" t="s">
        <v>305</v>
      </c>
      <c r="C43" s="14">
        <v>1</v>
      </c>
      <c r="D43" s="21" t="s">
        <v>100</v>
      </c>
      <c r="E43" s="49">
        <f>+Parámetros!D10</f>
        <v>14456289</v>
      </c>
      <c r="F43" s="118">
        <v>0.2</v>
      </c>
      <c r="G43" s="23">
        <v>11</v>
      </c>
      <c r="H43" s="57">
        <f>+C43*E43*G43*F43</f>
        <v>31803835.800000001</v>
      </c>
    </row>
    <row r="44" spans="2:8" x14ac:dyDescent="0.25">
      <c r="B44" s="14" t="s">
        <v>557</v>
      </c>
      <c r="C44" s="21">
        <v>1</v>
      </c>
      <c r="D44" s="14" t="s">
        <v>100</v>
      </c>
      <c r="E44" s="49">
        <f>+Parámetros!D11</f>
        <v>11508889</v>
      </c>
      <c r="F44" s="118">
        <v>0.3</v>
      </c>
      <c r="G44" s="23">
        <v>11</v>
      </c>
      <c r="H44" s="57">
        <f>+C44*E44*G44*F44</f>
        <v>37979333.699999996</v>
      </c>
    </row>
    <row r="45" spans="2:8" x14ac:dyDescent="0.25">
      <c r="B45" s="56" t="s">
        <v>321</v>
      </c>
      <c r="C45" s="21">
        <v>2</v>
      </c>
      <c r="D45" s="14" t="s">
        <v>100</v>
      </c>
      <c r="E45" s="49">
        <f>+Parámetros!D14</f>
        <v>7017615</v>
      </c>
      <c r="F45" s="118"/>
      <c r="G45" s="23">
        <v>11</v>
      </c>
      <c r="H45" s="57">
        <f>+C45*E45*G45</f>
        <v>154387530</v>
      </c>
    </row>
    <row r="46" spans="2:8" ht="24" x14ac:dyDescent="0.25">
      <c r="B46" s="68" t="s">
        <v>116</v>
      </c>
      <c r="C46" s="21"/>
      <c r="D46" s="14"/>
      <c r="E46" s="49"/>
      <c r="F46" s="118"/>
      <c r="G46" s="23"/>
      <c r="H46" s="53" t="s">
        <v>118</v>
      </c>
    </row>
    <row r="47" spans="2:8" x14ac:dyDescent="0.25">
      <c r="B47" s="203" t="s">
        <v>107</v>
      </c>
      <c r="C47" s="204"/>
      <c r="D47" s="204"/>
      <c r="E47" s="204"/>
      <c r="F47" s="204"/>
      <c r="G47" s="205"/>
      <c r="H47" s="50">
        <f>SUM(H43:H46)</f>
        <v>224170699.5</v>
      </c>
    </row>
    <row r="48" spans="2:8" ht="30" customHeight="1" x14ac:dyDescent="0.25">
      <c r="B48" s="301" t="s">
        <v>575</v>
      </c>
      <c r="C48" s="301"/>
      <c r="D48" s="301"/>
      <c r="E48" s="301"/>
      <c r="F48" s="301"/>
      <c r="G48" s="301"/>
      <c r="H48" s="5"/>
    </row>
    <row r="49" spans="2:8" x14ac:dyDescent="0.25">
      <c r="B49" s="105"/>
      <c r="C49" s="105"/>
      <c r="D49" s="105"/>
      <c r="E49" s="105"/>
      <c r="F49" s="105"/>
      <c r="G49" s="105"/>
    </row>
    <row r="50" spans="2:8" x14ac:dyDescent="0.25">
      <c r="B50" s="13" t="s">
        <v>223</v>
      </c>
      <c r="C50" s="13" t="s">
        <v>40</v>
      </c>
      <c r="D50" s="13" t="s">
        <v>41</v>
      </c>
      <c r="E50" s="13" t="s">
        <v>42</v>
      </c>
      <c r="F50" s="13" t="s">
        <v>554</v>
      </c>
      <c r="G50" s="13" t="s">
        <v>43</v>
      </c>
      <c r="H50" s="13" t="s">
        <v>44</v>
      </c>
    </row>
    <row r="51" spans="2:8" x14ac:dyDescent="0.25">
      <c r="B51" s="14" t="s">
        <v>573</v>
      </c>
      <c r="C51" s="14">
        <v>1</v>
      </c>
      <c r="D51" s="21" t="s">
        <v>100</v>
      </c>
      <c r="E51" s="49">
        <f>+Parámetros!D10</f>
        <v>14456289</v>
      </c>
      <c r="F51" s="118">
        <v>0.2</v>
      </c>
      <c r="G51" s="23">
        <v>11</v>
      </c>
      <c r="H51" s="57">
        <f>+C51*E51*G51*F51</f>
        <v>31803835.800000001</v>
      </c>
    </row>
    <row r="52" spans="2:8" x14ac:dyDescent="0.25">
      <c r="B52" s="14" t="s">
        <v>557</v>
      </c>
      <c r="C52" s="21">
        <v>1</v>
      </c>
      <c r="D52" s="14" t="s">
        <v>100</v>
      </c>
      <c r="E52" s="49">
        <f>+Parámetros!D11</f>
        <v>11508889</v>
      </c>
      <c r="F52" s="118">
        <v>0.3</v>
      </c>
      <c r="G52" s="23">
        <v>11</v>
      </c>
      <c r="H52" s="57">
        <f>+C52*E52*G52*F52</f>
        <v>37979333.699999996</v>
      </c>
    </row>
    <row r="53" spans="2:8" x14ac:dyDescent="0.25">
      <c r="B53" s="56" t="s">
        <v>570</v>
      </c>
      <c r="C53" s="21">
        <v>4</v>
      </c>
      <c r="D53" s="14" t="s">
        <v>100</v>
      </c>
      <c r="E53" s="49">
        <f>+Parámetros!D14</f>
        <v>7017615</v>
      </c>
      <c r="F53" s="118"/>
      <c r="G53" s="23">
        <v>11</v>
      </c>
      <c r="H53" s="57">
        <f>+C53*E53*G53</f>
        <v>308775060</v>
      </c>
    </row>
    <row r="54" spans="2:8" x14ac:dyDescent="0.25">
      <c r="B54" s="56" t="s">
        <v>576</v>
      </c>
      <c r="C54" s="21">
        <v>4</v>
      </c>
      <c r="D54" s="14" t="s">
        <v>187</v>
      </c>
      <c r="E54" s="49">
        <f>+Parámetros!C32</f>
        <v>1000000</v>
      </c>
      <c r="F54" s="118"/>
      <c r="G54" s="23"/>
      <c r="H54" s="57">
        <f t="shared" ref="H54:H59" si="5">+C54*E54</f>
        <v>4000000</v>
      </c>
    </row>
    <row r="55" spans="2:8" x14ac:dyDescent="0.25">
      <c r="B55" s="56" t="s">
        <v>317</v>
      </c>
      <c r="C55" s="21">
        <v>2</v>
      </c>
      <c r="D55" s="14" t="s">
        <v>110</v>
      </c>
      <c r="E55" s="49">
        <f>+Parámetros!F20</f>
        <v>2743387.5</v>
      </c>
      <c r="F55" s="118"/>
      <c r="G55" s="23"/>
      <c r="H55" s="57">
        <f t="shared" si="5"/>
        <v>5486775</v>
      </c>
    </row>
    <row r="56" spans="2:8" x14ac:dyDescent="0.25">
      <c r="B56" s="56" t="s">
        <v>139</v>
      </c>
      <c r="C56" s="21">
        <v>4</v>
      </c>
      <c r="D56" s="14" t="s">
        <v>111</v>
      </c>
      <c r="E56" s="216">
        <f>+Parámetros!F21</f>
        <v>2329540.5</v>
      </c>
      <c r="F56" s="20"/>
      <c r="G56" s="108"/>
      <c r="H56" s="57">
        <f t="shared" si="5"/>
        <v>9318162</v>
      </c>
    </row>
    <row r="57" spans="2:8" x14ac:dyDescent="0.25">
      <c r="B57" s="56" t="s">
        <v>130</v>
      </c>
      <c r="C57" s="21">
        <v>1</v>
      </c>
      <c r="D57" s="54" t="s">
        <v>109</v>
      </c>
      <c r="E57" s="216">
        <f>+Parámetros!C33</f>
        <v>3000000</v>
      </c>
      <c r="F57" s="20"/>
      <c r="G57" s="108"/>
      <c r="H57" s="57">
        <f t="shared" si="5"/>
        <v>3000000</v>
      </c>
    </row>
    <row r="58" spans="2:8" x14ac:dyDescent="0.25">
      <c r="B58" s="68" t="s">
        <v>134</v>
      </c>
      <c r="C58" s="21">
        <v>1</v>
      </c>
      <c r="D58" s="14" t="s">
        <v>135</v>
      </c>
      <c r="E58" s="216">
        <f>500*3.5*3300</f>
        <v>5775000</v>
      </c>
      <c r="F58" s="20"/>
      <c r="G58" s="108"/>
      <c r="H58" s="57">
        <f t="shared" si="5"/>
        <v>5775000</v>
      </c>
    </row>
    <row r="59" spans="2:8" x14ac:dyDescent="0.25">
      <c r="B59" s="51" t="s">
        <v>106</v>
      </c>
      <c r="C59" s="21">
        <v>2</v>
      </c>
      <c r="D59" s="14" t="s">
        <v>104</v>
      </c>
      <c r="E59" s="216">
        <v>3000000</v>
      </c>
      <c r="F59" s="20"/>
      <c r="G59" s="108"/>
      <c r="H59" s="57">
        <f t="shared" si="5"/>
        <v>6000000</v>
      </c>
    </row>
    <row r="60" spans="2:8" ht="24" x14ac:dyDescent="0.25">
      <c r="B60" s="68" t="s">
        <v>116</v>
      </c>
      <c r="C60" s="21"/>
      <c r="D60" s="14"/>
      <c r="E60" s="216"/>
      <c r="F60" s="20"/>
      <c r="G60" s="108"/>
      <c r="H60" s="53" t="s">
        <v>118</v>
      </c>
    </row>
    <row r="61" spans="2:8" x14ac:dyDescent="0.25">
      <c r="B61" s="203" t="s">
        <v>107</v>
      </c>
      <c r="C61" s="204"/>
      <c r="D61" s="204"/>
      <c r="E61" s="204"/>
      <c r="F61" s="20"/>
      <c r="G61" s="205"/>
      <c r="H61" s="50">
        <f>SUM(H51:H60)</f>
        <v>412138166.5</v>
      </c>
    </row>
    <row r="62" spans="2:8" ht="24.75" customHeight="1" x14ac:dyDescent="0.25">
      <c r="B62" s="318" t="s">
        <v>577</v>
      </c>
      <c r="C62" s="318"/>
      <c r="D62" s="318"/>
      <c r="E62" s="318"/>
      <c r="F62" s="318"/>
      <c r="G62" s="318"/>
      <c r="H62" s="318"/>
    </row>
    <row r="65" spans="2:8" x14ac:dyDescent="0.25">
      <c r="B65" s="13" t="s">
        <v>224</v>
      </c>
      <c r="C65" s="13" t="s">
        <v>40</v>
      </c>
      <c r="D65" s="13" t="s">
        <v>41</v>
      </c>
      <c r="E65" s="13" t="s">
        <v>42</v>
      </c>
      <c r="F65" s="13" t="s">
        <v>554</v>
      </c>
      <c r="G65" s="13" t="s">
        <v>43</v>
      </c>
      <c r="H65" s="13" t="s">
        <v>44</v>
      </c>
    </row>
    <row r="66" spans="2:8" x14ac:dyDescent="0.25">
      <c r="B66" s="14" t="s">
        <v>305</v>
      </c>
      <c r="C66" s="14">
        <v>1</v>
      </c>
      <c r="D66" s="21" t="s">
        <v>100</v>
      </c>
      <c r="E66" s="49">
        <f>+Parámetros!D10</f>
        <v>14456289</v>
      </c>
      <c r="F66" s="118">
        <v>0.1</v>
      </c>
      <c r="G66" s="23">
        <v>11</v>
      </c>
      <c r="H66" s="57">
        <f>+C66*E66*G66*10%</f>
        <v>15901917.9</v>
      </c>
    </row>
    <row r="67" spans="2:8" x14ac:dyDescent="0.25">
      <c r="B67" s="14" t="s">
        <v>557</v>
      </c>
      <c r="C67" s="21">
        <v>1</v>
      </c>
      <c r="D67" s="14" t="s">
        <v>100</v>
      </c>
      <c r="E67" s="49">
        <f>+Parámetros!D12</f>
        <v>10245720</v>
      </c>
      <c r="F67" s="118">
        <v>0.1</v>
      </c>
      <c r="G67" s="23">
        <v>11</v>
      </c>
      <c r="H67" s="57">
        <f>+C67*E67*G67*10%</f>
        <v>11270292</v>
      </c>
    </row>
    <row r="68" spans="2:8" ht="24" x14ac:dyDescent="0.25">
      <c r="B68" s="56" t="s">
        <v>188</v>
      </c>
      <c r="C68" s="21"/>
      <c r="D68" s="14"/>
      <c r="E68" s="49"/>
      <c r="F68" s="20"/>
      <c r="G68" s="23"/>
      <c r="H68" s="53" t="s">
        <v>118</v>
      </c>
    </row>
    <row r="69" spans="2:8" x14ac:dyDescent="0.25">
      <c r="B69" s="203" t="s">
        <v>107</v>
      </c>
      <c r="C69" s="204"/>
      <c r="D69" s="204"/>
      <c r="E69" s="204"/>
      <c r="F69" s="20"/>
      <c r="G69" s="205"/>
      <c r="H69" s="50">
        <f>SUM(H66:H68)</f>
        <v>27172209.899999999</v>
      </c>
    </row>
    <row r="70" spans="2:8" ht="25.5" customHeight="1" x14ac:dyDescent="0.25">
      <c r="B70" s="301" t="s">
        <v>225</v>
      </c>
      <c r="C70" s="301"/>
      <c r="D70" s="301"/>
      <c r="E70" s="301"/>
      <c r="F70" s="301"/>
      <c r="G70" s="301"/>
      <c r="H70" s="301"/>
    </row>
    <row r="71" spans="2:8" ht="20.25" customHeight="1" x14ac:dyDescent="0.25">
      <c r="B71" s="317"/>
      <c r="C71" s="317"/>
      <c r="D71" s="317"/>
      <c r="E71" s="317"/>
      <c r="F71" s="317"/>
      <c r="G71" s="317"/>
    </row>
  </sheetData>
  <sheetProtection sheet="1" formatCells="0" formatColumns="0" formatRows="0" insertColumns="0" insertRows="0" insertHyperlinks="0" deleteColumns="0" deleteRows="0" sort="0" autoFilter="0" pivotTables="0"/>
  <mergeCells count="6">
    <mergeCell ref="B71:G71"/>
    <mergeCell ref="B28:H28"/>
    <mergeCell ref="B48:G48"/>
    <mergeCell ref="B39:H39"/>
    <mergeCell ref="B62:H62"/>
    <mergeCell ref="B70:H7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9cfb9293b72e52201a6dd4733c420c9e">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8962f50eb57aaa8c6bdbdcf6ea00a385"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Arroz</Categoría_x0020_POP1>
    <Categoría_x0020_POP xmlns="a7912b74-821a-4119-aad9-e1c9b233eb5e">Anexo - Datos</Categoría_x0020_POP>
    <VariationsItemGroupID xmlns="http://schemas.microsoft.com/sharepoint/v3">acfc3ea8-51b1-4401-8416-28c4cd8796a0</VariationsItemGroupID>
  </documentManagement>
</p:properties>
</file>

<file path=customXml/itemProps1.xml><?xml version="1.0" encoding="utf-8"?>
<ds:datastoreItem xmlns:ds="http://schemas.openxmlformats.org/officeDocument/2006/customXml" ds:itemID="{69F99ADA-14C1-4F8B-8625-0A752DD4E4BA}"/>
</file>

<file path=customXml/itemProps2.xml><?xml version="1.0" encoding="utf-8"?>
<ds:datastoreItem xmlns:ds="http://schemas.openxmlformats.org/officeDocument/2006/customXml" ds:itemID="{7AABDAA7-D8DE-47E6-A8CC-4A463BCB2D91}"/>
</file>

<file path=customXml/itemProps3.xml><?xml version="1.0" encoding="utf-8"?>
<ds:datastoreItem xmlns:ds="http://schemas.openxmlformats.org/officeDocument/2006/customXml" ds:itemID="{0BE20D8A-860C-42EB-B2A0-EDAAB818E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1</vt:i4>
      </vt:variant>
    </vt:vector>
  </HeadingPairs>
  <TitlesOfParts>
    <vt:vector size="47" baseType="lpstr">
      <vt:lpstr>P1.1 i</vt:lpstr>
      <vt:lpstr>Instructivo</vt:lpstr>
      <vt:lpstr>Parámetros</vt:lpstr>
      <vt:lpstr>Presupuesto detallado</vt:lpstr>
      <vt:lpstr>Presupuesto síntesis</vt:lpstr>
      <vt:lpstr>FF Detallada</vt:lpstr>
      <vt:lpstr>FF síntesis</vt:lpstr>
      <vt:lpstr>FF síntesis MillCOP</vt:lpstr>
      <vt:lpstr>P1.1</vt:lpstr>
      <vt:lpstr>P1.2</vt:lpstr>
      <vt:lpstr>P1.3</vt:lpstr>
      <vt:lpstr>P1.4</vt:lpstr>
      <vt:lpstr>P1.5</vt:lpstr>
      <vt:lpstr>P1.2 i</vt:lpstr>
      <vt:lpstr>P1.3 i</vt:lpstr>
      <vt:lpstr>P1.4 i</vt:lpstr>
      <vt:lpstr>P1.5 i</vt:lpstr>
      <vt:lpstr>P2.1</vt:lpstr>
      <vt:lpstr>P2.2</vt:lpstr>
      <vt:lpstr>P2.3</vt:lpstr>
      <vt:lpstr>P3.1</vt:lpstr>
      <vt:lpstr>P3.2</vt:lpstr>
      <vt:lpstr>P3.3</vt:lpstr>
      <vt:lpstr>P3.4</vt:lpstr>
      <vt:lpstr>P4.1i</vt:lpstr>
      <vt:lpstr>P4.2i</vt:lpstr>
      <vt:lpstr>P5.1 i</vt:lpstr>
      <vt:lpstr>P5.2 i</vt:lpstr>
      <vt:lpstr>P4.1</vt:lpstr>
      <vt:lpstr>P4.2</vt:lpstr>
      <vt:lpstr>P5.1</vt:lpstr>
      <vt:lpstr>P5.2</vt:lpstr>
      <vt:lpstr>P6.1</vt:lpstr>
      <vt:lpstr>P6.2</vt:lpstr>
      <vt:lpstr>P7.1</vt:lpstr>
      <vt:lpstr>P7.2</vt:lpstr>
      <vt:lpstr>P6.1 i</vt:lpstr>
      <vt:lpstr>P6.2 i</vt:lpstr>
      <vt:lpstr>P8.1 i</vt:lpstr>
      <vt:lpstr>P8.2 i</vt:lpstr>
      <vt:lpstr>P8.1</vt:lpstr>
      <vt:lpstr>P8.2</vt:lpstr>
      <vt:lpstr>P9.1</vt:lpstr>
      <vt:lpstr>P9.2</vt:lpstr>
      <vt:lpstr>P9.3</vt:lpstr>
      <vt:lpstr>P9.4</vt:lpstr>
      <vt:lpstr>Parámetros!Área_de_impresión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Datos</dc:title>
  <dc:creator>Maryetha Fonseca Osorio</dc:creator>
  <cp:lastModifiedBy>Alejandro Flórez Vanegas</cp:lastModifiedBy>
  <dcterms:created xsi:type="dcterms:W3CDTF">2019-11-27T13:30:59Z</dcterms:created>
  <dcterms:modified xsi:type="dcterms:W3CDTF">2020-06-09T21:22:27Z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